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activeTab="3"/>
  </bookViews>
  <sheets>
    <sheet name="龙湖 " sheetId="5" r:id="rId1"/>
    <sheet name="顶峰" sheetId="6" r:id="rId2"/>
    <sheet name="颐和" sheetId="7" r:id="rId3"/>
    <sheet name="锦苑" sheetId="13" r:id="rId4"/>
    <sheet name="五里墩" sheetId="14" r:id="rId5"/>
    <sheet name="九里堤" sheetId="15" r:id="rId6"/>
    <sheet name="育秀" sheetId="8" r:id="rId7"/>
    <sheet name="大隐" sheetId="9" r:id="rId8"/>
    <sheet name="龙猫" sheetId="10" r:id="rId9"/>
    <sheet name="金琴" sheetId="11" r:id="rId10"/>
    <sheet name="营康路" sheetId="12" r:id="rId11"/>
    <sheet name="数据" sheetId="4" r:id="rId12"/>
  </sheets>
  <definedNames>
    <definedName name="_xlnm._FilterDatabase" localSheetId="1" hidden="1">顶峰!$A$1:$A$153</definedName>
    <definedName name="城市">数据!$M$2:$M$5</definedName>
    <definedName name="_xlnm._FilterDatabase" localSheetId="0" hidden="1">'龙湖 '!$A$4:$W$156</definedName>
    <definedName name="_xlnm._FilterDatabase" localSheetId="3" hidden="1">锦苑!$A$4:$Z$148</definedName>
  </definedNames>
  <calcPr calcId="144525"/>
</workbook>
</file>

<file path=xl/comments1.xml><?xml version="1.0" encoding="utf-8"?>
<comments xmlns="http://schemas.openxmlformats.org/spreadsheetml/2006/main">
  <authors>
    <author>NTKO</author>
  </authors>
  <commentList>
    <comment ref="C45" authorId="0">
      <text>
        <r>
          <rPr>
            <sz val="9"/>
            <rFont val="宋体"/>
            <charset val="134"/>
          </rPr>
          <t xml:space="preserve">NTKO:
3.30改3.31
</t>
        </r>
      </text>
    </comment>
  </commentList>
</comments>
</file>

<file path=xl/sharedStrings.xml><?xml version="1.0" encoding="utf-8"?>
<sst xmlns="http://schemas.openxmlformats.org/spreadsheetml/2006/main" count="283">
  <si>
    <t>龙  湖</t>
  </si>
  <si>
    <t>序号</t>
  </si>
  <si>
    <t>订单</t>
  </si>
  <si>
    <t>成本（支出）</t>
  </si>
  <si>
    <t>净利润</t>
  </si>
  <si>
    <t>提成</t>
  </si>
  <si>
    <t>成本</t>
  </si>
  <si>
    <t>分成</t>
  </si>
  <si>
    <t>订单日期</t>
  </si>
  <si>
    <t>日期</t>
  </si>
  <si>
    <t>天数</t>
  </si>
  <si>
    <t>收益</t>
  </si>
  <si>
    <t>来源</t>
  </si>
  <si>
    <t>抽成</t>
  </si>
  <si>
    <t>负责人</t>
  </si>
  <si>
    <t>金额</t>
  </si>
  <si>
    <t>类别</t>
  </si>
  <si>
    <t>收方</t>
  </si>
  <si>
    <t>明细</t>
  </si>
  <si>
    <t>人员</t>
  </si>
  <si>
    <t>小计</t>
  </si>
  <si>
    <t>项目</t>
  </si>
  <si>
    <t>备注</t>
  </si>
  <si>
    <t>1月</t>
  </si>
  <si>
    <t>小猪</t>
  </si>
  <si>
    <t>蕾</t>
  </si>
  <si>
    <t>保洁</t>
  </si>
  <si>
    <t>王</t>
  </si>
  <si>
    <t>利润</t>
  </si>
  <si>
    <t>管理</t>
  </si>
  <si>
    <t>敏</t>
  </si>
  <si>
    <t>物管费</t>
  </si>
  <si>
    <t>娟</t>
  </si>
  <si>
    <t>杂物</t>
  </si>
  <si>
    <t>洗衣液</t>
  </si>
  <si>
    <t>松</t>
  </si>
  <si>
    <t>维修</t>
  </si>
  <si>
    <t>线下</t>
  </si>
  <si>
    <t>床品</t>
  </si>
  <si>
    <t>佩</t>
  </si>
  <si>
    <t>其他</t>
  </si>
  <si>
    <t>工程费</t>
  </si>
  <si>
    <t>1.20-24</t>
  </si>
  <si>
    <t>BNB</t>
  </si>
  <si>
    <t>1.25-26</t>
  </si>
  <si>
    <t>1.29-30</t>
  </si>
  <si>
    <t>蚂蚁</t>
  </si>
  <si>
    <t>遥控器电池</t>
  </si>
  <si>
    <t>气费</t>
  </si>
  <si>
    <t>2月</t>
  </si>
  <si>
    <t>洗发水、卷纸</t>
  </si>
  <si>
    <t>电费、物业费、垃圾费</t>
  </si>
  <si>
    <t>2.3-5</t>
  </si>
  <si>
    <t>房东自住</t>
  </si>
  <si>
    <t>2.6-13</t>
  </si>
  <si>
    <t>2.15-17</t>
  </si>
  <si>
    <t>徐哥</t>
  </si>
  <si>
    <t>途家</t>
  </si>
  <si>
    <t>2.19-22</t>
  </si>
  <si>
    <t>2.23-28</t>
  </si>
  <si>
    <t>3月</t>
  </si>
  <si>
    <t>3.7-11</t>
  </si>
  <si>
    <t>3.13-20</t>
  </si>
  <si>
    <t>洗洁精、洗衣液</t>
  </si>
  <si>
    <t>3.22-23</t>
  </si>
  <si>
    <t>垃圾袋、电池</t>
  </si>
  <si>
    <t>灯</t>
  </si>
  <si>
    <t>w</t>
  </si>
  <si>
    <t>l</t>
  </si>
  <si>
    <t>j</t>
  </si>
  <si>
    <t>4月</t>
  </si>
  <si>
    <t>4.6-9</t>
  </si>
  <si>
    <t>4.4-5</t>
  </si>
  <si>
    <t>4.20-23</t>
  </si>
  <si>
    <t>4.29-30</t>
  </si>
  <si>
    <t>4.26-28</t>
  </si>
  <si>
    <t>5月</t>
  </si>
  <si>
    <t>5.1-3</t>
  </si>
  <si>
    <t>5.4-5</t>
  </si>
  <si>
    <t>5.25-6.2</t>
  </si>
  <si>
    <t>6月</t>
  </si>
  <si>
    <t>6.6-7</t>
  </si>
  <si>
    <t>7月</t>
  </si>
  <si>
    <t>8月</t>
  </si>
  <si>
    <t>9月</t>
  </si>
  <si>
    <t>10月</t>
  </si>
  <si>
    <t>11月</t>
  </si>
  <si>
    <t>12月</t>
  </si>
  <si>
    <t>顶  峰</t>
  </si>
  <si>
    <t>姓名</t>
  </si>
  <si>
    <t>3个灯泡</t>
  </si>
  <si>
    <t>勋</t>
  </si>
  <si>
    <t>1.18-19</t>
  </si>
  <si>
    <t>遥控器</t>
  </si>
  <si>
    <t>1.23-24</t>
  </si>
  <si>
    <t>垃圾袋</t>
  </si>
  <si>
    <t>电费</t>
  </si>
  <si>
    <t>2.2-4</t>
  </si>
  <si>
    <t>2.16-18</t>
  </si>
  <si>
    <t>2.19-20</t>
  </si>
  <si>
    <t>脸盆</t>
  </si>
  <si>
    <t>12-3月物管费、垃圾费、水费</t>
  </si>
  <si>
    <t>2.23-24</t>
  </si>
  <si>
    <t>2.28-3.1</t>
  </si>
  <si>
    <t>修浴霸</t>
  </si>
  <si>
    <t>3.16-17</t>
  </si>
  <si>
    <t>3.18-20</t>
  </si>
  <si>
    <t>换线版</t>
  </si>
  <si>
    <t>3.23-24</t>
  </si>
  <si>
    <t>4.1-12</t>
  </si>
  <si>
    <t>4.16-19</t>
  </si>
  <si>
    <t>4.21-26</t>
  </si>
  <si>
    <t>4.28-4.30</t>
  </si>
  <si>
    <t>颐  和</t>
  </si>
  <si>
    <t>1.8-15</t>
  </si>
  <si>
    <t>海滨</t>
  </si>
  <si>
    <t>电视遥控器电池，纽扣+7号电池</t>
  </si>
  <si>
    <t>团队</t>
  </si>
  <si>
    <t>1.22-24</t>
  </si>
  <si>
    <t>1.25-28</t>
  </si>
  <si>
    <t>洗发水</t>
  </si>
  <si>
    <t>2.5-11</t>
  </si>
  <si>
    <t>2.18-19</t>
  </si>
  <si>
    <t>密码锁电池</t>
  </si>
  <si>
    <t>1-3月物管，11-1月水电费、垃圾费</t>
  </si>
  <si>
    <t>2.21-28</t>
  </si>
  <si>
    <t>灯具</t>
  </si>
  <si>
    <t>3.1-2</t>
  </si>
  <si>
    <t>垃圾袋、纸</t>
  </si>
  <si>
    <t>3.22-24</t>
  </si>
  <si>
    <t>3.25-30</t>
  </si>
  <si>
    <t>4.2-6</t>
  </si>
  <si>
    <t>4.9-10</t>
  </si>
  <si>
    <t>4.14-15</t>
  </si>
  <si>
    <t>4.18-19</t>
  </si>
  <si>
    <t>4.12-13</t>
  </si>
  <si>
    <t>4.27-30</t>
  </si>
  <si>
    <t>锦  苑</t>
  </si>
  <si>
    <t>1.3-6</t>
  </si>
  <si>
    <t>取暖器*2</t>
  </si>
  <si>
    <t>2月物管</t>
  </si>
  <si>
    <t>2.10-17</t>
  </si>
  <si>
    <t>2.18-20</t>
  </si>
  <si>
    <t>空调1台</t>
  </si>
  <si>
    <t>物管费、垃圾费、车位管理2018.3-2019.2；</t>
  </si>
  <si>
    <t>2台空调</t>
  </si>
  <si>
    <t>3.13-14</t>
  </si>
  <si>
    <t>五 里 墩</t>
  </si>
  <si>
    <t>安装网</t>
  </si>
  <si>
    <t>1-19</t>
  </si>
  <si>
    <t>刘怡</t>
  </si>
  <si>
    <t>一年清洁费</t>
  </si>
  <si>
    <t>2.3-8</t>
  </si>
  <si>
    <t>马桶维修</t>
  </si>
  <si>
    <t>扣押金</t>
  </si>
  <si>
    <t>2.12-13</t>
  </si>
  <si>
    <t>2.17-18</t>
  </si>
  <si>
    <t>2.24-25</t>
  </si>
  <si>
    <t>2.27-28</t>
  </si>
  <si>
    <t>3.5-6</t>
  </si>
  <si>
    <t>3.7-9</t>
  </si>
  <si>
    <t>bnb</t>
  </si>
  <si>
    <t>3.10-31</t>
  </si>
  <si>
    <t>疏通管道</t>
  </si>
  <si>
    <t>4.1-6</t>
  </si>
  <si>
    <t>九 里 堤</t>
  </si>
  <si>
    <t>1.26-28</t>
  </si>
  <si>
    <t>电费充值</t>
  </si>
  <si>
    <t>2.10-15</t>
  </si>
  <si>
    <t>垃圾袋+纸一卷</t>
  </si>
  <si>
    <t>2.20-21</t>
  </si>
  <si>
    <t>垃圾桶2个，卷纸1提，垃圾袋三卷</t>
  </si>
  <si>
    <t>3.15-21</t>
  </si>
  <si>
    <t>3.29-31</t>
  </si>
  <si>
    <t>4.1-4</t>
  </si>
  <si>
    <t>4.5-6</t>
  </si>
  <si>
    <t>4.20-21</t>
  </si>
  <si>
    <t>4.26-30</t>
  </si>
  <si>
    <t>5.1-2</t>
  </si>
  <si>
    <t>5.20-23</t>
  </si>
  <si>
    <t>育  秀</t>
  </si>
  <si>
    <t>1.1-1.17</t>
  </si>
  <si>
    <t>闲鱼</t>
  </si>
  <si>
    <t>2.4-3.10</t>
  </si>
  <si>
    <t>3.25-26</t>
  </si>
  <si>
    <t>3.27-28</t>
  </si>
  <si>
    <t>4.1-4.7</t>
  </si>
  <si>
    <t>4.8-12</t>
  </si>
  <si>
    <t>4.15-16</t>
  </si>
  <si>
    <t>4.19-20</t>
  </si>
  <si>
    <t>4.27-28</t>
  </si>
  <si>
    <t>5.1-4</t>
  </si>
  <si>
    <t>大  隐</t>
  </si>
  <si>
    <t>拖把</t>
  </si>
  <si>
    <t>通厕所</t>
  </si>
  <si>
    <t>1.4-7</t>
  </si>
  <si>
    <t>1.9-1.11</t>
  </si>
  <si>
    <t>纸</t>
  </si>
  <si>
    <t>1.12-17</t>
  </si>
  <si>
    <t>1.18-20</t>
  </si>
  <si>
    <t>1.24-29</t>
  </si>
  <si>
    <t>2.1-3</t>
  </si>
  <si>
    <t>2.7-2.10</t>
  </si>
  <si>
    <t>2.11-14</t>
  </si>
  <si>
    <t>2.19-21</t>
  </si>
  <si>
    <t>2.24-27</t>
  </si>
  <si>
    <t>3.9-11</t>
  </si>
  <si>
    <t>3.3-4</t>
  </si>
  <si>
    <t>3.12-16</t>
  </si>
  <si>
    <t>水费</t>
  </si>
  <si>
    <t>3.19-20</t>
  </si>
  <si>
    <t>4.4-7</t>
  </si>
  <si>
    <t>4.13-15</t>
  </si>
  <si>
    <t>5.5-7</t>
  </si>
  <si>
    <t>5.2-3</t>
  </si>
  <si>
    <t>5.9-10</t>
  </si>
  <si>
    <t>5.11-12</t>
  </si>
  <si>
    <t>龙  猫</t>
  </si>
  <si>
    <t>1.8-10</t>
  </si>
  <si>
    <t>1.12-14</t>
  </si>
  <si>
    <t>冰箱</t>
  </si>
  <si>
    <t>1.17-22</t>
  </si>
  <si>
    <t>1.23-31</t>
  </si>
  <si>
    <t>2.1-14</t>
  </si>
  <si>
    <t>卷纸</t>
  </si>
  <si>
    <t>2.15-18</t>
  </si>
  <si>
    <t>厕所灯</t>
  </si>
  <si>
    <t>2.20-24</t>
  </si>
  <si>
    <t>宽带费</t>
  </si>
  <si>
    <t>3.1-3</t>
  </si>
  <si>
    <t>3.4-6</t>
  </si>
  <si>
    <t>马桶</t>
  </si>
  <si>
    <t>3.11-25</t>
  </si>
  <si>
    <t>3.29-30</t>
  </si>
  <si>
    <t>4.1-7</t>
  </si>
  <si>
    <t>4.21-22</t>
  </si>
  <si>
    <t>4.25-27</t>
  </si>
  <si>
    <t>5.2-5.3</t>
  </si>
  <si>
    <t>5.5-8</t>
  </si>
  <si>
    <t>金  琴</t>
  </si>
  <si>
    <t>1.1-31</t>
  </si>
  <si>
    <t>2.2-2.9</t>
  </si>
  <si>
    <t>2.10-12</t>
  </si>
  <si>
    <t>2.23-25</t>
  </si>
  <si>
    <t>垃圾袋、洗衣液、卷纸</t>
  </si>
  <si>
    <t>3.10-11</t>
  </si>
  <si>
    <t>3.13-15</t>
  </si>
  <si>
    <t>3.17-18</t>
  </si>
  <si>
    <t>3.19-21</t>
  </si>
  <si>
    <t xml:space="preserve"> </t>
  </si>
  <si>
    <t>3.30-31</t>
  </si>
  <si>
    <t>4.4-6</t>
  </si>
  <si>
    <t>4.7-13</t>
  </si>
  <si>
    <t>4.14-30</t>
  </si>
  <si>
    <t>5.1-12</t>
  </si>
  <si>
    <t>6.6-6.7</t>
  </si>
  <si>
    <t>营 康 路</t>
  </si>
  <si>
    <t>1.1-3</t>
  </si>
  <si>
    <t>沐浴、洗发露</t>
  </si>
  <si>
    <t>胡阿姨</t>
  </si>
  <si>
    <t>1.9-14</t>
  </si>
  <si>
    <t>1.15-20</t>
  </si>
  <si>
    <t>1.21-23</t>
  </si>
  <si>
    <t>1.27-28</t>
  </si>
  <si>
    <t>1.30-31</t>
  </si>
  <si>
    <t>2.12-16</t>
  </si>
  <si>
    <t>2.17-20</t>
  </si>
  <si>
    <t>2.21-23</t>
  </si>
  <si>
    <t>花洒固定架</t>
  </si>
  <si>
    <t>物业+水电</t>
  </si>
  <si>
    <t>3.28-30</t>
  </si>
  <si>
    <t>3.26-27</t>
  </si>
  <si>
    <t>4.3-6</t>
  </si>
  <si>
    <t>4.7-8</t>
  </si>
  <si>
    <t>4.16-17</t>
  </si>
  <si>
    <t>4.22-24</t>
  </si>
  <si>
    <t>4.25-29</t>
  </si>
  <si>
    <t>城市</t>
  </si>
  <si>
    <t>广州</t>
  </si>
  <si>
    <t>广发</t>
  </si>
  <si>
    <t>兴业</t>
  </si>
  <si>
    <t>广海</t>
  </si>
  <si>
    <r>
      <t>B</t>
    </r>
    <r>
      <rPr>
        <sz val="12"/>
        <rFont val="宋体"/>
        <charset val="134"/>
      </rPr>
      <t>NC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</si>
</sst>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m/d;@"/>
    <numFmt numFmtId="43" formatCode="_ * #,##0.00_ ;_ * \-#,##0.00_ ;_ * &quot;-&quot;??_ ;_ @_ "/>
    <numFmt numFmtId="177" formatCode="0_ "/>
    <numFmt numFmtId="178" formatCode="#,##0.0"/>
    <numFmt numFmtId="179" formatCode="m\/d;@"/>
    <numFmt numFmtId="44" formatCode="_ &quot;￥&quot;* #,##0.00_ ;_ &quot;￥&quot;* \-#,##0.00_ ;_ &quot;￥&quot;* &quot;-&quot;??_ ;_ @_ "/>
    <numFmt numFmtId="180" formatCode="0.0_ "/>
    <numFmt numFmtId="42" formatCode="_ &quot;￥&quot;* #,##0_ ;_ &quot;￥&quot;* \-#,##0_ ;_ &quot;￥&quot;* &quot;-&quot;_ ;_ @_ "/>
    <numFmt numFmtId="181" formatCode="0.00_ "/>
  </numFmts>
  <fonts count="35">
    <font>
      <sz val="12"/>
      <name val="宋体"/>
      <charset val="134"/>
    </font>
    <font>
      <sz val="12"/>
      <color indexed="56"/>
      <name val="宋体"/>
      <charset val="134"/>
    </font>
    <font>
      <b/>
      <sz val="20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60"/>
      <name val="宋体"/>
      <charset val="134"/>
    </font>
    <font>
      <b/>
      <sz val="11"/>
      <name val="宋体"/>
      <charset val="134"/>
    </font>
    <font>
      <b/>
      <sz val="11"/>
      <color indexed="62"/>
      <name val="宋体"/>
      <charset val="134"/>
    </font>
    <font>
      <b/>
      <sz val="12"/>
      <name val="宋体"/>
      <charset val="134"/>
    </font>
    <font>
      <b/>
      <sz val="11"/>
      <color indexed="57"/>
      <name val="宋体"/>
      <charset val="134"/>
    </font>
    <font>
      <b/>
      <sz val="12"/>
      <color indexed="5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60"/>
      <name val="宋体"/>
      <charset val="134"/>
    </font>
    <font>
      <b/>
      <sz val="12"/>
      <color indexed="62"/>
      <name val="宋体"/>
      <charset val="134"/>
    </font>
    <font>
      <sz val="11"/>
      <color indexed="20"/>
      <name val="等线"/>
      <charset val="134"/>
    </font>
    <font>
      <sz val="11"/>
      <color indexed="9"/>
      <name val="宋体"/>
      <charset val="134"/>
    </font>
    <font>
      <sz val="11"/>
      <color indexed="60"/>
      <name val="等线"/>
      <charset val="134"/>
    </font>
    <font>
      <b/>
      <sz val="11"/>
      <color indexed="63"/>
      <name val="等线"/>
      <charset val="134"/>
    </font>
    <font>
      <sz val="11"/>
      <color indexed="52"/>
      <name val="等线"/>
      <charset val="134"/>
    </font>
    <font>
      <b/>
      <sz val="15"/>
      <color indexed="54"/>
      <name val="等线"/>
      <charset val="134"/>
    </font>
    <font>
      <sz val="11"/>
      <color indexed="62"/>
      <name val="等线"/>
      <charset val="134"/>
    </font>
    <font>
      <b/>
      <sz val="13"/>
      <color indexed="54"/>
      <name val="等线"/>
      <charset val="134"/>
    </font>
    <font>
      <sz val="11"/>
      <color indexed="10"/>
      <name val="等线"/>
      <charset val="134"/>
    </font>
    <font>
      <b/>
      <sz val="11"/>
      <color indexed="9"/>
      <name val="等线"/>
      <charset val="134"/>
    </font>
    <font>
      <u/>
      <sz val="11"/>
      <color indexed="12"/>
      <name val="宋体"/>
      <charset val="134"/>
    </font>
    <font>
      <sz val="18"/>
      <color indexed="54"/>
      <name val="等线 Light"/>
      <charset val="134"/>
    </font>
    <font>
      <sz val="11"/>
      <color indexed="8"/>
      <name val="等线"/>
      <charset val="134"/>
    </font>
    <font>
      <u/>
      <sz val="11"/>
      <color indexed="20"/>
      <name val="宋体"/>
      <charset val="134"/>
    </font>
    <font>
      <sz val="11"/>
      <color indexed="17"/>
      <name val="等线"/>
      <charset val="134"/>
    </font>
    <font>
      <i/>
      <sz val="11"/>
      <color indexed="23"/>
      <name val="等线"/>
      <charset val="134"/>
    </font>
    <font>
      <b/>
      <sz val="11"/>
      <color indexed="52"/>
      <name val="等线"/>
      <charset val="134"/>
    </font>
    <font>
      <b/>
      <sz val="11"/>
      <color indexed="54"/>
      <name val="等线"/>
      <charset val="134"/>
    </font>
    <font>
      <sz val="11"/>
      <color indexed="9"/>
      <name val="等线"/>
      <charset val="134"/>
    </font>
    <font>
      <b/>
      <sz val="11"/>
      <color indexed="8"/>
      <name val="等线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0" borderId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31" fillId="2" borderId="12" applyNumberFormat="0" applyAlignment="0" applyProtection="0">
      <alignment vertical="center"/>
    </xf>
    <xf numFmtId="0" fontId="24" fillId="14" borderId="1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9" fontId="11" fillId="0" borderId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0" borderId="1" xfId="81" applyNumberFormat="1" applyFont="1" applyFill="1" applyBorder="1" applyAlignment="1">
      <alignment horizontal="center" vertical="center"/>
    </xf>
    <xf numFmtId="0" fontId="4" fillId="0" borderId="1" xfId="81" applyNumberFormat="1" applyFont="1" applyFill="1" applyBorder="1" applyAlignment="1">
      <alignment horizontal="center" vertical="center"/>
    </xf>
    <xf numFmtId="0" fontId="4" fillId="0" borderId="1" xfId="81" applyNumberFormat="1" applyFont="1" applyFill="1" applyBorder="1" applyAlignment="1">
      <alignment horizontal="center" vertical="center" wrapText="1"/>
    </xf>
    <xf numFmtId="0" fontId="4" fillId="0" borderId="1" xfId="81" applyNumberFormat="1" applyFont="1" applyFill="1" applyBorder="1" applyAlignment="1" applyProtection="1">
      <alignment horizontal="center" vertical="center"/>
      <protection locked="0"/>
    </xf>
    <xf numFmtId="0" fontId="5" fillId="2" borderId="1" xfId="81" applyNumberFormat="1" applyFont="1" applyFill="1" applyBorder="1" applyAlignment="1">
      <alignment horizontal="center" vertical="center"/>
    </xf>
    <xf numFmtId="0" fontId="6" fillId="0" borderId="1" xfId="81" applyNumberFormat="1" applyFont="1" applyFill="1" applyBorder="1" applyAlignment="1">
      <alignment horizontal="center" vertical="center" wrapText="1"/>
    </xf>
    <xf numFmtId="0" fontId="6" fillId="0" borderId="1" xfId="81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6" fillId="0" borderId="2" xfId="81" applyNumberFormat="1" applyFont="1" applyFill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2" xfId="8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8" fillId="0" borderId="1" xfId="81" applyNumberFormat="1" applyFont="1" applyFill="1" applyBorder="1" applyAlignment="1">
      <alignment horizontal="center" vertical="center" wrapText="1"/>
    </xf>
    <xf numFmtId="0" fontId="8" fillId="0" borderId="2" xfId="81" applyNumberFormat="1" applyFont="1" applyFill="1" applyBorder="1" applyAlignment="1">
      <alignment horizontal="center" vertical="center"/>
    </xf>
    <xf numFmtId="0" fontId="8" fillId="0" borderId="5" xfId="81" applyNumberFormat="1" applyFont="1" applyFill="1" applyBorder="1" applyAlignment="1">
      <alignment horizontal="center" vertical="center"/>
    </xf>
    <xf numFmtId="0" fontId="8" fillId="0" borderId="1" xfId="81" applyNumberFormat="1" applyFont="1" applyFill="1" applyBorder="1" applyAlignment="1">
      <alignment horizontal="center" vertical="center"/>
    </xf>
    <xf numFmtId="0" fontId="8" fillId="0" borderId="6" xfId="81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81" fontId="0" fillId="0" borderId="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9" fillId="0" borderId="2" xfId="81" applyNumberFormat="1" applyFont="1" applyFill="1" applyBorder="1" applyAlignment="1">
      <alignment horizontal="center" vertical="center"/>
    </xf>
    <xf numFmtId="0" fontId="9" fillId="0" borderId="1" xfId="8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12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0" fillId="0" borderId="1" xfId="69" applyNumberFormat="1" applyFont="1" applyFill="1" applyBorder="1" applyAlignment="1">
      <alignment horizontal="center" vertical="center"/>
    </xf>
    <xf numFmtId="0" fontId="10" fillId="0" borderId="1" xfId="69" applyNumberFormat="1" applyFont="1" applyFill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179" fontId="11" fillId="0" borderId="1" xfId="69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1" xfId="81" applyNumberFormat="1" applyFont="1" applyFill="1" applyBorder="1" applyAlignment="1">
      <alignment horizontal="center" vertical="center"/>
    </xf>
    <xf numFmtId="176" fontId="4" fillId="0" borderId="1" xfId="81" applyNumberFormat="1" applyFont="1" applyFill="1" applyBorder="1" applyAlignment="1">
      <alignment horizontal="center" vertical="center" wrapText="1"/>
    </xf>
    <xf numFmtId="176" fontId="6" fillId="0" borderId="1" xfId="81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1" fillId="0" borderId="0" xfId="40">
      <alignment vertical="center"/>
    </xf>
    <xf numFmtId="0" fontId="11" fillId="0" borderId="1" xfId="63" applyNumberFormat="1" applyFon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0" fillId="0" borderId="1" xfId="69" applyNumberFormat="1" applyFont="1" applyFill="1" applyBorder="1" applyAlignment="1">
      <alignment horizontal="center" vertical="center"/>
    </xf>
    <xf numFmtId="0" fontId="5" fillId="3" borderId="1" xfId="8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1" xfId="81" applyNumberFormat="1" applyFont="1" applyFill="1" applyBorder="1" applyAlignment="1">
      <alignment horizontal="center" vertical="center"/>
    </xf>
    <xf numFmtId="0" fontId="13" fillId="0" borderId="1" xfId="81" applyNumberFormat="1" applyFont="1" applyFill="1" applyBorder="1" applyAlignment="1">
      <alignment horizontal="center" vertical="center"/>
    </xf>
    <xf numFmtId="0" fontId="13" fillId="0" borderId="1" xfId="81" applyNumberFormat="1" applyFont="1" applyFill="1" applyBorder="1" applyAlignment="1">
      <alignment horizontal="center" vertical="center" wrapText="1"/>
    </xf>
    <xf numFmtId="0" fontId="13" fillId="0" borderId="1" xfId="81" applyNumberFormat="1" applyFont="1" applyFill="1" applyBorder="1" applyAlignment="1" applyProtection="1">
      <alignment horizontal="center" vertical="center"/>
      <protection locked="0"/>
    </xf>
    <xf numFmtId="0" fontId="7" fillId="2" borderId="1" xfId="81" applyNumberFormat="1" applyFont="1" applyFill="1" applyBorder="1" applyAlignment="1">
      <alignment horizontal="center" vertical="center"/>
    </xf>
    <xf numFmtId="0" fontId="14" fillId="0" borderId="1" xfId="81" applyNumberFormat="1" applyFont="1" applyFill="1" applyBorder="1" applyAlignment="1">
      <alignment horizontal="center" vertical="center" wrapText="1"/>
    </xf>
    <xf numFmtId="0" fontId="14" fillId="0" borderId="1" xfId="8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1" fontId="0" fillId="0" borderId="1" xfId="0" applyNumberFormat="1" applyFont="1" applyBorder="1" applyAlignment="1">
      <alignment horizontal="center" vertical="center"/>
    </xf>
    <xf numFmtId="0" fontId="14" fillId="0" borderId="2" xfId="81" applyNumberFormat="1" applyFont="1" applyFill="1" applyBorder="1" applyAlignment="1">
      <alignment horizontal="center" vertical="center" wrapText="1"/>
    </xf>
    <xf numFmtId="0" fontId="14" fillId="0" borderId="2" xfId="81" applyNumberFormat="1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6" xfId="81" applyNumberFormat="1" applyFont="1" applyFill="1" applyBorder="1" applyAlignment="1">
      <alignment horizontal="center" vertical="center" wrapText="1"/>
    </xf>
    <xf numFmtId="0" fontId="14" fillId="0" borderId="6" xfId="81" applyNumberFormat="1" applyFont="1" applyFill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0" fontId="9" fillId="0" borderId="1" xfId="81" applyNumberFormat="1" applyFont="1" applyFill="1" applyBorder="1" applyAlignment="1">
      <alignment horizontal="center" vertical="center" wrapText="1"/>
    </xf>
    <xf numFmtId="0" fontId="9" fillId="0" borderId="2" xfId="81" applyNumberFormat="1" applyFont="1" applyFill="1" applyBorder="1" applyAlignment="1">
      <alignment horizontal="center" vertical="center"/>
    </xf>
    <xf numFmtId="0" fontId="9" fillId="0" borderId="5" xfId="81" applyNumberFormat="1" applyFont="1" applyFill="1" applyBorder="1" applyAlignment="1">
      <alignment horizontal="center" vertical="center"/>
    </xf>
    <xf numFmtId="0" fontId="9" fillId="0" borderId="2" xfId="81" applyNumberFormat="1" applyFont="1" applyFill="1" applyBorder="1" applyAlignment="1">
      <alignment horizontal="center" vertical="center"/>
    </xf>
    <xf numFmtId="0" fontId="9" fillId="0" borderId="5" xfId="81" applyNumberFormat="1" applyFont="1" applyFill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9" fontId="0" fillId="0" borderId="0" xfId="12" applyFont="1" applyAlignment="1">
      <alignment horizontal="center" vertical="center"/>
    </xf>
  </cellXfs>
  <cellStyles count="89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40% - 着色 3" xfId="18"/>
    <cellStyle name="标题" xfId="19" builtinId="15"/>
    <cellStyle name="常规_育秀_3" xfId="20"/>
    <cellStyle name="着色 1" xfId="21"/>
    <cellStyle name="20% - 着色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着色 5" xfId="38"/>
    <cellStyle name="20% - 强调文字颜色 5" xfId="39" builtinId="46"/>
    <cellStyle name="常规_大隐" xfId="40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20% - 着色 1" xfId="50"/>
    <cellStyle name="强调文字颜色 5" xfId="51" builtinId="45"/>
    <cellStyle name="40% - 强调文字颜色 5" xfId="52" builtinId="47"/>
    <cellStyle name="20% - 着色 2" xfId="53"/>
    <cellStyle name="60% - 强调文字颜色 5" xfId="54" builtinId="48"/>
    <cellStyle name="强调文字颜色 6" xfId="55" builtinId="49"/>
    <cellStyle name="常规_顶峰" xfId="56"/>
    <cellStyle name="40% - 强调文字颜色 6" xfId="57" builtinId="51"/>
    <cellStyle name="常规_育秀_1" xfId="58"/>
    <cellStyle name="20% - 着色 3" xfId="59"/>
    <cellStyle name="60% - 强调文字颜色 6" xfId="60" builtinId="52"/>
    <cellStyle name="百分比_龙湖 (2)" xfId="61"/>
    <cellStyle name="40% - 着色 1" xfId="62"/>
    <cellStyle name="常规_育秀_2" xfId="63"/>
    <cellStyle name="20% - 着色 4" xfId="64"/>
    <cellStyle name="20% - 着色 6" xfId="65"/>
    <cellStyle name="着色 2" xfId="66"/>
    <cellStyle name="40% - 着色 2" xfId="67"/>
    <cellStyle name="40% - 着色 4" xfId="68"/>
    <cellStyle name="常规_金琴" xfId="69"/>
    <cellStyle name="常规_1月_1" xfId="70"/>
    <cellStyle name="40% - 着色 5" xfId="71"/>
    <cellStyle name="常规_1月_2" xfId="72"/>
    <cellStyle name="40% - 着色 6" xfId="73"/>
    <cellStyle name="常规_颐和_1" xfId="74"/>
    <cellStyle name="60% - 着色 1" xfId="75"/>
    <cellStyle name="60% - 着色 3" xfId="76"/>
    <cellStyle name="60% - 着色 4" xfId="77"/>
    <cellStyle name="60% - 着色 5" xfId="78"/>
    <cellStyle name="60% - 着色 6" xfId="79"/>
    <cellStyle name="常规_顶峰_1" xfId="80"/>
    <cellStyle name="常规_Sheet1" xfId="81"/>
    <cellStyle name="着色 3" xfId="82"/>
    <cellStyle name="着色 4" xfId="83"/>
    <cellStyle name="着色 6" xfId="84"/>
    <cellStyle name="常规_龙湖 (2)" xfId="85"/>
    <cellStyle name="常规_颐和" xfId="86"/>
    <cellStyle name="常规_育秀" xfId="87"/>
    <cellStyle name="常规_龙猫" xfId="88"/>
  </cellStyles>
  <tableStyles count="0" defaultTableStyle="TableStyleMedium2" defaultPivotStyle="PivotStyleLight16"/>
  <colors>
    <mruColors>
      <color rgb="0033CCCC"/>
      <color rgb="00993300"/>
      <color rgb="00003366"/>
      <color rgb="00C0C0C0"/>
      <color rgb="00339966"/>
      <color rgb="003333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3"/>
  </sheetPr>
  <dimension ref="A1:AC156"/>
  <sheetViews>
    <sheetView workbookViewId="0">
      <pane xSplit="1" ySplit="4" topLeftCell="B59" activePane="bottomRight" state="frozen"/>
      <selection/>
      <selection pane="topRight"/>
      <selection pane="bottomLeft"/>
      <selection pane="bottomRight" activeCell="B73" sqref="B73"/>
    </sheetView>
  </sheetViews>
  <sheetFormatPr defaultColWidth="9" defaultRowHeight="15"/>
  <cols>
    <col min="1" max="1" width="5.75" style="77"/>
    <col min="2" max="2" width="7" style="77"/>
    <col min="3" max="3" width="8.375" style="77"/>
    <col min="4" max="4" width="5.625" style="77"/>
    <col min="5" max="5" width="9.25" style="77"/>
    <col min="6" max="6" width="5.625" style="77"/>
    <col min="7" max="7" width="9.375" style="77"/>
    <col min="8" max="8" width="7" style="77"/>
    <col min="9" max="9" width="3.125" style="77" customWidth="1"/>
    <col min="10" max="10" width="9.875" style="77"/>
    <col min="11" max="11" width="5.625" style="77"/>
    <col min="12" max="12" width="9.25" style="77"/>
    <col min="13" max="13" width="5.625" style="77"/>
    <col min="14" max="14" width="11.5" style="77"/>
    <col min="15" max="15" width="9.25" style="77"/>
    <col min="16" max="16" width="3.125" style="50" customWidth="1"/>
    <col min="17" max="17" width="5.625" style="48"/>
    <col min="18" max="18" width="6.41666666666667" style="48"/>
    <col min="19" max="19" width="5.625" style="48"/>
    <col min="20" max="20" width="8.41666666666667" style="48" customWidth="1"/>
    <col min="21" max="21" width="6.375" style="48"/>
    <col min="22" max="22" width="9.375" style="48"/>
    <col min="23" max="25" width="6.375" style="50"/>
    <col min="26" max="26" width="5.375" style="50"/>
    <col min="27" max="28" width="6.375" style="50"/>
    <col min="29" max="29" width="7.375" style="50"/>
    <col min="30" max="16384" width="9" style="50"/>
  </cols>
  <sheetData>
    <row r="1" s="4" customFormat="1" ht="39" customHeight="1" spans="1:23">
      <c r="A1" s="6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78" t="s">
        <v>1</v>
      </c>
      <c r="B2" s="78"/>
      <c r="C2" s="79" t="s">
        <v>2</v>
      </c>
      <c r="D2" s="79"/>
      <c r="E2" s="79"/>
      <c r="F2" s="79"/>
      <c r="G2" s="79"/>
      <c r="H2" s="79"/>
      <c r="J2" s="102" t="s">
        <v>3</v>
      </c>
      <c r="K2" s="102"/>
      <c r="L2" s="102"/>
      <c r="M2" s="102"/>
      <c r="N2" s="102"/>
      <c r="O2" s="103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78"/>
      <c r="B3" s="80" t="s">
        <v>8</v>
      </c>
      <c r="C3" s="79" t="s">
        <v>9</v>
      </c>
      <c r="D3" s="79" t="s">
        <v>10</v>
      </c>
      <c r="E3" s="79" t="s">
        <v>11</v>
      </c>
      <c r="F3" s="81" t="s">
        <v>12</v>
      </c>
      <c r="G3" s="79" t="s">
        <v>13</v>
      </c>
      <c r="H3" s="79"/>
      <c r="J3" s="102"/>
      <c r="K3" s="102"/>
      <c r="L3" s="102"/>
      <c r="M3" s="102"/>
      <c r="N3" s="102"/>
      <c r="O3" s="104"/>
      <c r="Q3" s="46"/>
      <c r="R3" s="46"/>
      <c r="S3" s="46"/>
      <c r="T3" s="46"/>
      <c r="U3" s="47"/>
      <c r="V3" s="47"/>
      <c r="W3" s="47"/>
    </row>
    <row r="4" spans="1:23">
      <c r="A4" s="78"/>
      <c r="B4" s="80"/>
      <c r="C4" s="79"/>
      <c r="D4" s="79"/>
      <c r="E4" s="79"/>
      <c r="F4" s="81"/>
      <c r="G4" s="79" t="s">
        <v>14</v>
      </c>
      <c r="H4" s="80" t="s">
        <v>15</v>
      </c>
      <c r="J4" s="105" t="s">
        <v>8</v>
      </c>
      <c r="K4" s="105" t="s">
        <v>16</v>
      </c>
      <c r="L4" s="105" t="s">
        <v>15</v>
      </c>
      <c r="M4" s="105" t="s">
        <v>17</v>
      </c>
      <c r="N4" s="105" t="s">
        <v>18</v>
      </c>
      <c r="O4" s="106"/>
      <c r="Q4" s="46" t="s">
        <v>19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2">
      <c r="A5" s="82" t="s">
        <v>23</v>
      </c>
      <c r="B5" s="83"/>
      <c r="C5" s="84"/>
      <c r="D5" s="15">
        <f t="shared" ref="D5:H5" si="0">SUM(D6:D20)</f>
        <v>17</v>
      </c>
      <c r="E5" s="16">
        <f t="shared" si="0"/>
        <v>3736.3</v>
      </c>
      <c r="F5" s="84"/>
      <c r="G5" s="84"/>
      <c r="H5" s="16">
        <f t="shared" si="0"/>
        <v>186.8</v>
      </c>
      <c r="J5" s="84"/>
      <c r="K5" s="84"/>
      <c r="L5" s="16">
        <f>SUM(L6:L20)</f>
        <v>1356.5</v>
      </c>
      <c r="M5" s="84"/>
      <c r="N5" s="84"/>
      <c r="O5" s="16">
        <f>E5-H5-L5</f>
        <v>2193</v>
      </c>
      <c r="R5" s="48">
        <f t="shared" ref="R5:V5" si="1">SUM(R6:R11)</f>
        <v>186.8</v>
      </c>
      <c r="T5" s="49">
        <f t="shared" si="1"/>
        <v>1356.5</v>
      </c>
      <c r="V5" s="49"/>
    </row>
    <row r="6" spans="1:22">
      <c r="A6" s="85">
        <v>1</v>
      </c>
      <c r="B6" s="86">
        <v>43105</v>
      </c>
      <c r="C6" s="87">
        <v>1.6</v>
      </c>
      <c r="D6" s="88">
        <v>1</v>
      </c>
      <c r="E6" s="89">
        <v>232.2</v>
      </c>
      <c r="F6" s="90" t="s">
        <v>24</v>
      </c>
      <c r="G6" s="85" t="s">
        <v>25</v>
      </c>
      <c r="H6" s="91">
        <f t="shared" ref="H6:H11" si="2">ROUND(E6*0.05,1)</f>
        <v>11.6</v>
      </c>
      <c r="J6" s="40">
        <v>43105</v>
      </c>
      <c r="K6" s="85" t="s">
        <v>26</v>
      </c>
      <c r="L6" s="89">
        <v>65</v>
      </c>
      <c r="M6" s="85" t="s">
        <v>25</v>
      </c>
      <c r="N6" s="24">
        <v>1.7</v>
      </c>
      <c r="O6" s="89"/>
      <c r="Q6" s="48" t="s">
        <v>27</v>
      </c>
      <c r="R6" s="48">
        <f>SUMIF(G6:G20,Q6,H6:H20)</f>
        <v>0</v>
      </c>
      <c r="S6" s="48" t="s">
        <v>26</v>
      </c>
      <c r="T6" s="48">
        <f>SUMIF(K6:K20,S6,L6:L20)</f>
        <v>695</v>
      </c>
      <c r="U6" s="48" t="s">
        <v>28</v>
      </c>
      <c r="V6" s="49">
        <f>O5</f>
        <v>2193</v>
      </c>
    </row>
    <row r="7" spans="1:23">
      <c r="A7" s="85">
        <v>2</v>
      </c>
      <c r="B7" s="86">
        <v>43110</v>
      </c>
      <c r="C7" s="92">
        <v>1.1</v>
      </c>
      <c r="D7" s="88">
        <v>1</v>
      </c>
      <c r="E7" s="89">
        <v>232.2</v>
      </c>
      <c r="F7" s="24" t="s">
        <v>24</v>
      </c>
      <c r="G7" s="85" t="s">
        <v>25</v>
      </c>
      <c r="H7" s="91">
        <f t="shared" si="2"/>
        <v>11.6</v>
      </c>
      <c r="J7" s="86">
        <v>43110</v>
      </c>
      <c r="K7" s="85" t="s">
        <v>26</v>
      </c>
      <c r="L7" s="89">
        <v>70</v>
      </c>
      <c r="M7" s="85" t="s">
        <v>25</v>
      </c>
      <c r="N7" s="24">
        <v>1.12</v>
      </c>
      <c r="O7" s="89"/>
      <c r="Q7" s="48" t="s">
        <v>25</v>
      </c>
      <c r="R7" s="48">
        <f>SUMIF(G6:G20,Q7,H6:H20)</f>
        <v>136.9</v>
      </c>
      <c r="S7" s="48" t="s">
        <v>29</v>
      </c>
      <c r="T7" s="48">
        <f>SUMIF(K6:K20,S7,L6:L20)</f>
        <v>634</v>
      </c>
      <c r="U7" s="48" t="s">
        <v>30</v>
      </c>
      <c r="V7" s="49">
        <f>ROUND($V$6/2,1)</f>
        <v>1096.5</v>
      </c>
      <c r="W7" s="108">
        <v>0.5</v>
      </c>
    </row>
    <row r="8" spans="1:23">
      <c r="A8" s="85">
        <v>3</v>
      </c>
      <c r="B8" s="86">
        <v>43111</v>
      </c>
      <c r="C8" s="87">
        <v>1.11</v>
      </c>
      <c r="D8" s="88">
        <v>1</v>
      </c>
      <c r="E8" s="89">
        <v>232.2</v>
      </c>
      <c r="F8" s="24" t="s">
        <v>24</v>
      </c>
      <c r="G8" s="85" t="s">
        <v>25</v>
      </c>
      <c r="H8" s="91">
        <f t="shared" si="2"/>
        <v>11.6</v>
      </c>
      <c r="J8" s="86">
        <v>43110</v>
      </c>
      <c r="K8" s="85" t="s">
        <v>29</v>
      </c>
      <c r="L8" s="89">
        <v>447</v>
      </c>
      <c r="M8" s="85" t="s">
        <v>30</v>
      </c>
      <c r="N8" s="24" t="s">
        <v>31</v>
      </c>
      <c r="O8" s="89"/>
      <c r="Q8" s="48" t="s">
        <v>32</v>
      </c>
      <c r="R8" s="48">
        <f>SUMIF(G6:G20,Q8,H6:H20)</f>
        <v>49.9</v>
      </c>
      <c r="S8" s="48" t="s">
        <v>33</v>
      </c>
      <c r="T8" s="48">
        <f>SUMIF(K6:K20,S8,L6:L20)</f>
        <v>27.5</v>
      </c>
      <c r="U8" s="48" t="s">
        <v>32</v>
      </c>
      <c r="V8" s="49">
        <f>ROUND($V$6/2,1)</f>
        <v>1096.5</v>
      </c>
      <c r="W8" s="108">
        <v>0.5</v>
      </c>
    </row>
    <row r="9" spans="1:20">
      <c r="A9" s="85">
        <v>4</v>
      </c>
      <c r="B9" s="86">
        <v>43113</v>
      </c>
      <c r="C9" s="87">
        <v>1.13</v>
      </c>
      <c r="D9" s="88">
        <v>1</v>
      </c>
      <c r="E9" s="89">
        <v>232.2</v>
      </c>
      <c r="F9" s="24" t="s">
        <v>24</v>
      </c>
      <c r="G9" s="85" t="s">
        <v>25</v>
      </c>
      <c r="H9" s="91">
        <f t="shared" si="2"/>
        <v>11.6</v>
      </c>
      <c r="J9" s="86">
        <v>43112</v>
      </c>
      <c r="K9" s="85" t="s">
        <v>33</v>
      </c>
      <c r="L9" s="89">
        <v>16.5</v>
      </c>
      <c r="M9" s="85" t="s">
        <v>32</v>
      </c>
      <c r="N9" s="24" t="s">
        <v>34</v>
      </c>
      <c r="O9" s="89"/>
      <c r="Q9" s="48" t="s">
        <v>35</v>
      </c>
      <c r="R9" s="48">
        <f>SUMIF(G6:G20,Q9,H6:H20)</f>
        <v>0</v>
      </c>
      <c r="S9" s="48" t="s">
        <v>36</v>
      </c>
      <c r="T9" s="48">
        <f>SUMIF(K6:K20,S9,L6:L20)</f>
        <v>0</v>
      </c>
    </row>
    <row r="10" spans="1:20">
      <c r="A10" s="85">
        <v>5</v>
      </c>
      <c r="B10" s="86">
        <v>43115</v>
      </c>
      <c r="C10" s="87">
        <v>1.15</v>
      </c>
      <c r="D10" s="88">
        <v>1</v>
      </c>
      <c r="E10" s="89">
        <v>215</v>
      </c>
      <c r="F10" s="24" t="s">
        <v>37</v>
      </c>
      <c r="G10" s="85" t="s">
        <v>25</v>
      </c>
      <c r="H10" s="91">
        <f t="shared" si="2"/>
        <v>10.8</v>
      </c>
      <c r="J10" s="86">
        <v>43113</v>
      </c>
      <c r="K10" s="85" t="s">
        <v>26</v>
      </c>
      <c r="L10" s="89">
        <v>70</v>
      </c>
      <c r="M10" s="85" t="s">
        <v>25</v>
      </c>
      <c r="N10" s="24">
        <v>1.14</v>
      </c>
      <c r="O10" s="89"/>
      <c r="Q10" s="48" t="s">
        <v>30</v>
      </c>
      <c r="R10" s="48">
        <f>SUMIF(G6:G20,Q10,H6:H20)</f>
        <v>0</v>
      </c>
      <c r="S10" s="48" t="s">
        <v>38</v>
      </c>
      <c r="T10" s="48">
        <f>SUMIF(K6:K20,S10,L6:L20)</f>
        <v>0</v>
      </c>
    </row>
    <row r="11" spans="1:20">
      <c r="A11" s="85">
        <v>6</v>
      </c>
      <c r="B11" s="86">
        <v>43117</v>
      </c>
      <c r="C11" s="87">
        <v>1.18</v>
      </c>
      <c r="D11" s="88">
        <v>1</v>
      </c>
      <c r="E11" s="89">
        <v>232.2</v>
      </c>
      <c r="F11" s="24" t="s">
        <v>24</v>
      </c>
      <c r="G11" s="85" t="s">
        <v>25</v>
      </c>
      <c r="H11" s="91">
        <v>11.6</v>
      </c>
      <c r="J11" s="86">
        <v>43116</v>
      </c>
      <c r="K11" s="85" t="s">
        <v>26</v>
      </c>
      <c r="L11" s="89">
        <v>70</v>
      </c>
      <c r="M11" s="85" t="s">
        <v>25</v>
      </c>
      <c r="N11" s="24">
        <v>1.17</v>
      </c>
      <c r="O11" s="89"/>
      <c r="Q11" s="48" t="s">
        <v>39</v>
      </c>
      <c r="R11" s="48">
        <f>SUMIF(G6:G20,Q11,H6:H20)</f>
        <v>0</v>
      </c>
      <c r="S11" s="48" t="s">
        <v>40</v>
      </c>
      <c r="T11" s="48">
        <f>SUMIF(K6:K20,S11,L6:L20)</f>
        <v>0</v>
      </c>
    </row>
    <row r="12" spans="1:15">
      <c r="A12" s="85">
        <v>7</v>
      </c>
      <c r="B12" s="86">
        <v>43119</v>
      </c>
      <c r="C12" s="87">
        <v>1.19</v>
      </c>
      <c r="D12" s="88">
        <v>1</v>
      </c>
      <c r="E12" s="89">
        <v>232.2</v>
      </c>
      <c r="F12" s="24" t="s">
        <v>24</v>
      </c>
      <c r="G12" s="85" t="s">
        <v>25</v>
      </c>
      <c r="H12" s="91">
        <v>11.6</v>
      </c>
      <c r="J12" s="86">
        <v>43117</v>
      </c>
      <c r="K12" s="85" t="s">
        <v>29</v>
      </c>
      <c r="L12" s="89">
        <v>110</v>
      </c>
      <c r="M12" s="85" t="s">
        <v>30</v>
      </c>
      <c r="N12" s="24" t="s">
        <v>41</v>
      </c>
      <c r="O12" s="89"/>
    </row>
    <row r="13" spans="1:15">
      <c r="A13" s="85">
        <v>8</v>
      </c>
      <c r="B13" s="86">
        <v>43115</v>
      </c>
      <c r="C13" s="87" t="s">
        <v>42</v>
      </c>
      <c r="D13" s="88">
        <v>5</v>
      </c>
      <c r="E13" s="89">
        <v>997.3</v>
      </c>
      <c r="F13" s="90" t="s">
        <v>43</v>
      </c>
      <c r="G13" s="85" t="s">
        <v>32</v>
      </c>
      <c r="H13" s="91">
        <f t="shared" ref="H13:H16" si="3">ROUND(E13*0.05,1)</f>
        <v>49.9</v>
      </c>
      <c r="J13" s="86">
        <v>43119</v>
      </c>
      <c r="K13" s="85" t="s">
        <v>26</v>
      </c>
      <c r="L13" s="89">
        <v>70</v>
      </c>
      <c r="M13" s="85" t="s">
        <v>25</v>
      </c>
      <c r="N13" s="24">
        <v>1.19</v>
      </c>
      <c r="O13" s="89"/>
    </row>
    <row r="14" spans="1:15">
      <c r="A14" s="85">
        <v>9</v>
      </c>
      <c r="B14" s="86">
        <v>43126</v>
      </c>
      <c r="C14" s="87" t="s">
        <v>44</v>
      </c>
      <c r="D14" s="88">
        <v>2</v>
      </c>
      <c r="E14" s="89">
        <v>464.4</v>
      </c>
      <c r="F14" s="24" t="s">
        <v>24</v>
      </c>
      <c r="G14" s="85" t="s">
        <v>25</v>
      </c>
      <c r="H14" s="91">
        <f t="shared" si="3"/>
        <v>23.2</v>
      </c>
      <c r="J14" s="86">
        <v>43120</v>
      </c>
      <c r="K14" s="85" t="s">
        <v>26</v>
      </c>
      <c r="L14" s="89">
        <v>70</v>
      </c>
      <c r="M14" s="85" t="s">
        <v>25</v>
      </c>
      <c r="N14" s="24">
        <v>1.21</v>
      </c>
      <c r="O14" s="89"/>
    </row>
    <row r="15" spans="1:15">
      <c r="A15" s="85">
        <v>10</v>
      </c>
      <c r="B15" s="86">
        <v>43129</v>
      </c>
      <c r="C15" s="87" t="s">
        <v>45</v>
      </c>
      <c r="D15" s="88">
        <v>2</v>
      </c>
      <c r="E15" s="89">
        <v>428.4</v>
      </c>
      <c r="F15" s="24" t="s">
        <v>46</v>
      </c>
      <c r="G15" s="85" t="s">
        <v>25</v>
      </c>
      <c r="H15" s="91">
        <f t="shared" si="3"/>
        <v>21.4</v>
      </c>
      <c r="J15" s="86">
        <v>43123</v>
      </c>
      <c r="K15" s="85" t="s">
        <v>26</v>
      </c>
      <c r="L15" s="89">
        <v>70</v>
      </c>
      <c r="M15" s="85" t="s">
        <v>25</v>
      </c>
      <c r="N15" s="24">
        <v>1.25</v>
      </c>
      <c r="O15" s="89"/>
    </row>
    <row r="16" spans="1:15">
      <c r="A16" s="85">
        <v>11</v>
      </c>
      <c r="B16" s="86">
        <v>43131</v>
      </c>
      <c r="C16" s="21">
        <v>1.31</v>
      </c>
      <c r="D16" s="22">
        <v>1</v>
      </c>
      <c r="E16" s="23">
        <v>238</v>
      </c>
      <c r="F16" s="24" t="s">
        <v>37</v>
      </c>
      <c r="G16" s="19" t="s">
        <v>25</v>
      </c>
      <c r="H16" s="25">
        <f t="shared" si="3"/>
        <v>11.9</v>
      </c>
      <c r="J16" s="86">
        <v>43126</v>
      </c>
      <c r="K16" s="85" t="s">
        <v>26</v>
      </c>
      <c r="L16" s="89">
        <v>70</v>
      </c>
      <c r="M16" s="85" t="s">
        <v>25</v>
      </c>
      <c r="N16" s="24">
        <v>1.27</v>
      </c>
      <c r="O16" s="89"/>
    </row>
    <row r="17" spans="1:15">
      <c r="A17" s="85">
        <v>12</v>
      </c>
      <c r="B17" s="86"/>
      <c r="C17" s="86"/>
      <c r="D17" s="88"/>
      <c r="E17" s="89"/>
      <c r="F17" s="24"/>
      <c r="G17" s="85"/>
      <c r="H17" s="85"/>
      <c r="J17" s="86">
        <v>43128</v>
      </c>
      <c r="K17" s="85" t="s">
        <v>33</v>
      </c>
      <c r="L17" s="89">
        <v>11</v>
      </c>
      <c r="M17" s="85" t="s">
        <v>32</v>
      </c>
      <c r="N17" s="24" t="s">
        <v>47</v>
      </c>
      <c r="O17" s="89"/>
    </row>
    <row r="18" spans="1:15">
      <c r="A18" s="85">
        <v>13</v>
      </c>
      <c r="B18" s="86"/>
      <c r="C18" s="86"/>
      <c r="D18" s="88"/>
      <c r="E18" s="89"/>
      <c r="F18" s="24"/>
      <c r="G18" s="85"/>
      <c r="H18" s="85"/>
      <c r="J18" s="86">
        <v>43129</v>
      </c>
      <c r="K18" s="85" t="s">
        <v>26</v>
      </c>
      <c r="L18" s="89">
        <v>70</v>
      </c>
      <c r="M18" s="85" t="s">
        <v>25</v>
      </c>
      <c r="N18" s="24">
        <v>1.31</v>
      </c>
      <c r="O18" s="89"/>
    </row>
    <row r="19" spans="1:15">
      <c r="A19" s="85"/>
      <c r="B19" s="86"/>
      <c r="C19" s="86"/>
      <c r="D19" s="88"/>
      <c r="E19" s="89"/>
      <c r="F19" s="24"/>
      <c r="G19" s="85"/>
      <c r="H19" s="85"/>
      <c r="J19" s="86">
        <v>43131</v>
      </c>
      <c r="K19" s="19" t="s">
        <v>29</v>
      </c>
      <c r="L19" s="23">
        <v>77</v>
      </c>
      <c r="M19" s="19" t="s">
        <v>30</v>
      </c>
      <c r="N19" s="41" t="s">
        <v>48</v>
      </c>
      <c r="O19" s="89"/>
    </row>
    <row r="20" spans="1:15">
      <c r="A20" s="85">
        <v>14</v>
      </c>
      <c r="B20" s="86"/>
      <c r="C20" s="86"/>
      <c r="D20" s="88"/>
      <c r="E20" s="89"/>
      <c r="F20" s="24"/>
      <c r="G20" s="85"/>
      <c r="H20" s="85"/>
      <c r="J20" s="86">
        <v>43131</v>
      </c>
      <c r="K20" s="19" t="s">
        <v>26</v>
      </c>
      <c r="L20" s="23">
        <v>70</v>
      </c>
      <c r="M20" s="19" t="s">
        <v>25</v>
      </c>
      <c r="N20" s="41">
        <v>2.6</v>
      </c>
      <c r="O20" s="89"/>
    </row>
    <row r="21" ht="30" customHeight="1" spans="1:22">
      <c r="A21" s="82" t="s">
        <v>49</v>
      </c>
      <c r="B21" s="83"/>
      <c r="C21" s="84"/>
      <c r="D21" s="15">
        <f t="shared" ref="D21:H21" si="4">SUM(D22:D32)</f>
        <v>27</v>
      </c>
      <c r="E21" s="16">
        <f t="shared" si="4"/>
        <v>6981.25</v>
      </c>
      <c r="F21" s="84"/>
      <c r="G21" s="84"/>
      <c r="H21" s="16">
        <f t="shared" si="4"/>
        <v>329.6</v>
      </c>
      <c r="J21" s="99"/>
      <c r="K21" s="99"/>
      <c r="L21" s="101">
        <f>SUM(L22:L32)</f>
        <v>1215.8</v>
      </c>
      <c r="M21" s="99"/>
      <c r="N21" s="99"/>
      <c r="O21" s="101">
        <f>E21-H21-L21</f>
        <v>5435.85</v>
      </c>
      <c r="R21" s="48">
        <f>SUM(R22:R27)</f>
        <v>329.6</v>
      </c>
      <c r="T21" s="49">
        <f>SUM(T22:T27)</f>
        <v>1215.8</v>
      </c>
      <c r="V21" s="49"/>
    </row>
    <row r="22" spans="1:22">
      <c r="A22" s="85">
        <v>1</v>
      </c>
      <c r="B22" s="86">
        <v>43131</v>
      </c>
      <c r="C22" s="21">
        <v>2.1</v>
      </c>
      <c r="D22" s="22">
        <v>1</v>
      </c>
      <c r="E22" s="23">
        <v>238</v>
      </c>
      <c r="F22" s="24" t="s">
        <v>37</v>
      </c>
      <c r="G22" s="19" t="s">
        <v>25</v>
      </c>
      <c r="H22" s="25">
        <f t="shared" ref="H22:H29" si="5">ROUND(E22*0.05,1)</f>
        <v>11.9</v>
      </c>
      <c r="J22" s="40">
        <v>43134</v>
      </c>
      <c r="K22" s="19" t="s">
        <v>33</v>
      </c>
      <c r="L22" s="23">
        <f>13.9+29.9</f>
        <v>43.8</v>
      </c>
      <c r="M22" s="19" t="s">
        <v>32</v>
      </c>
      <c r="N22" s="41" t="s">
        <v>50</v>
      </c>
      <c r="O22" s="89"/>
      <c r="Q22" s="48" t="s">
        <v>27</v>
      </c>
      <c r="R22" s="48">
        <f t="shared" ref="R22:R27" si="6">SUMIF($G$22:$G$32,Q22,$H$22:$H$32)</f>
        <v>21.6</v>
      </c>
      <c r="S22" s="48" t="s">
        <v>26</v>
      </c>
      <c r="T22" s="48">
        <f t="shared" ref="T22:T27" si="7">SUMIF($K$22:$K$32,S22,$L$22:$L$32)</f>
        <v>525</v>
      </c>
      <c r="U22" s="48" t="s">
        <v>28</v>
      </c>
      <c r="V22" s="49">
        <f>O21</f>
        <v>5435.85</v>
      </c>
    </row>
    <row r="23" spans="1:23">
      <c r="A23" s="85">
        <v>2</v>
      </c>
      <c r="B23" s="86">
        <v>43133</v>
      </c>
      <c r="C23" s="21">
        <v>2.2</v>
      </c>
      <c r="D23" s="22">
        <v>1</v>
      </c>
      <c r="E23" s="23">
        <v>238</v>
      </c>
      <c r="F23" s="24" t="s">
        <v>37</v>
      </c>
      <c r="G23" s="19" t="s">
        <v>25</v>
      </c>
      <c r="H23" s="25">
        <f t="shared" si="5"/>
        <v>11.9</v>
      </c>
      <c r="J23" s="86">
        <v>43137</v>
      </c>
      <c r="K23" s="19" t="s">
        <v>29</v>
      </c>
      <c r="L23" s="23">
        <v>647</v>
      </c>
      <c r="M23" s="19" t="s">
        <v>30</v>
      </c>
      <c r="N23" s="41" t="s">
        <v>51</v>
      </c>
      <c r="O23" s="89"/>
      <c r="Q23" s="48" t="s">
        <v>25</v>
      </c>
      <c r="R23" s="48">
        <f t="shared" si="6"/>
        <v>89.7</v>
      </c>
      <c r="S23" s="48" t="s">
        <v>29</v>
      </c>
      <c r="T23" s="48">
        <f t="shared" si="7"/>
        <v>647</v>
      </c>
      <c r="U23" s="48" t="s">
        <v>30</v>
      </c>
      <c r="V23" s="49">
        <f>ROUND(V22/2,1)</f>
        <v>2717.9</v>
      </c>
      <c r="W23" s="108">
        <v>0.5</v>
      </c>
    </row>
    <row r="24" spans="1:23">
      <c r="A24" s="85">
        <v>3</v>
      </c>
      <c r="B24" s="86">
        <v>43095</v>
      </c>
      <c r="C24" s="86" t="s">
        <v>52</v>
      </c>
      <c r="D24" s="88">
        <v>3</v>
      </c>
      <c r="E24" s="88">
        <v>390</v>
      </c>
      <c r="F24" s="85" t="s">
        <v>37</v>
      </c>
      <c r="G24" s="50" t="s">
        <v>53</v>
      </c>
      <c r="H24" s="91"/>
      <c r="J24" s="86">
        <v>43143</v>
      </c>
      <c r="K24" s="19" t="s">
        <v>26</v>
      </c>
      <c r="L24" s="23">
        <v>140</v>
      </c>
      <c r="M24" s="19" t="s">
        <v>25</v>
      </c>
      <c r="N24" s="85"/>
      <c r="O24" s="89"/>
      <c r="Q24" s="48" t="s">
        <v>32</v>
      </c>
      <c r="R24" s="48">
        <f t="shared" si="6"/>
        <v>218.3</v>
      </c>
      <c r="S24" s="48" t="s">
        <v>33</v>
      </c>
      <c r="T24" s="48">
        <f t="shared" si="7"/>
        <v>43.8</v>
      </c>
      <c r="U24" s="48" t="s">
        <v>32</v>
      </c>
      <c r="V24" s="49">
        <f>ROUND(V22/2,1)</f>
        <v>2717.9</v>
      </c>
      <c r="W24" s="108">
        <v>0.5</v>
      </c>
    </row>
    <row r="25" spans="1:20">
      <c r="A25" s="85">
        <v>4</v>
      </c>
      <c r="B25" s="86">
        <v>43119</v>
      </c>
      <c r="C25" s="87" t="s">
        <v>54</v>
      </c>
      <c r="D25" s="88">
        <v>8</v>
      </c>
      <c r="E25" s="89">
        <v>1470.7</v>
      </c>
      <c r="F25" s="90" t="s">
        <v>43</v>
      </c>
      <c r="G25" s="85" t="s">
        <v>32</v>
      </c>
      <c r="H25" s="91">
        <v>73.5</v>
      </c>
      <c r="J25" s="86">
        <v>43148</v>
      </c>
      <c r="K25" s="19" t="s">
        <v>26</v>
      </c>
      <c r="L25" s="23">
        <v>140</v>
      </c>
      <c r="M25" s="19" t="s">
        <v>25</v>
      </c>
      <c r="N25" s="41">
        <v>2.19</v>
      </c>
      <c r="O25" s="89"/>
      <c r="Q25" s="48" t="s">
        <v>35</v>
      </c>
      <c r="R25" s="48">
        <f t="shared" si="6"/>
        <v>0</v>
      </c>
      <c r="S25" s="48" t="s">
        <v>36</v>
      </c>
      <c r="T25" s="48">
        <f t="shared" si="7"/>
        <v>0</v>
      </c>
    </row>
    <row r="26" spans="1:20">
      <c r="A26" s="85">
        <v>5</v>
      </c>
      <c r="B26" s="86">
        <v>43129</v>
      </c>
      <c r="C26" s="87" t="s">
        <v>55</v>
      </c>
      <c r="D26" s="88">
        <v>3</v>
      </c>
      <c r="E26" s="89">
        <v>1317.6</v>
      </c>
      <c r="F26" s="24" t="s">
        <v>46</v>
      </c>
      <c r="G26" s="85" t="s">
        <v>25</v>
      </c>
      <c r="H26" s="91">
        <f t="shared" si="5"/>
        <v>65.9</v>
      </c>
      <c r="J26" s="86">
        <v>43149</v>
      </c>
      <c r="K26" s="19" t="s">
        <v>26</v>
      </c>
      <c r="L26" s="23">
        <v>140</v>
      </c>
      <c r="M26" s="19" t="s">
        <v>32</v>
      </c>
      <c r="N26" s="41" t="s">
        <v>56</v>
      </c>
      <c r="O26" s="89"/>
      <c r="Q26" s="48" t="s">
        <v>30</v>
      </c>
      <c r="R26" s="48">
        <f t="shared" si="6"/>
        <v>0</v>
      </c>
      <c r="S26" s="48" t="s">
        <v>38</v>
      </c>
      <c r="T26" s="48">
        <f t="shared" si="7"/>
        <v>0</v>
      </c>
    </row>
    <row r="27" spans="1:20">
      <c r="A27" s="85">
        <v>6</v>
      </c>
      <c r="B27" s="86">
        <v>43148</v>
      </c>
      <c r="C27" s="21">
        <v>2.18</v>
      </c>
      <c r="D27" s="22">
        <v>1</v>
      </c>
      <c r="E27" s="23">
        <v>432</v>
      </c>
      <c r="F27" s="24" t="s">
        <v>57</v>
      </c>
      <c r="G27" s="19" t="s">
        <v>27</v>
      </c>
      <c r="H27" s="25">
        <f t="shared" si="5"/>
        <v>21.6</v>
      </c>
      <c r="J27" s="86">
        <v>43153</v>
      </c>
      <c r="K27" s="19" t="s">
        <v>26</v>
      </c>
      <c r="L27" s="23">
        <v>105</v>
      </c>
      <c r="M27" s="19" t="s">
        <v>25</v>
      </c>
      <c r="N27" s="41">
        <v>2.23</v>
      </c>
      <c r="O27" s="89"/>
      <c r="Q27" s="48" t="s">
        <v>39</v>
      </c>
      <c r="R27" s="48">
        <f t="shared" si="6"/>
        <v>0</v>
      </c>
      <c r="S27" s="48" t="s">
        <v>40</v>
      </c>
      <c r="T27" s="48">
        <f t="shared" si="7"/>
        <v>0</v>
      </c>
    </row>
    <row r="28" spans="1:15">
      <c r="A28" s="85">
        <v>7</v>
      </c>
      <c r="B28" s="86">
        <v>43120</v>
      </c>
      <c r="C28" s="87" t="s">
        <v>58</v>
      </c>
      <c r="D28" s="88">
        <v>4</v>
      </c>
      <c r="E28" s="89">
        <v>1715.65</v>
      </c>
      <c r="F28" s="24" t="s">
        <v>43</v>
      </c>
      <c r="G28" s="85" t="s">
        <v>32</v>
      </c>
      <c r="H28" s="91">
        <f t="shared" si="5"/>
        <v>85.8</v>
      </c>
      <c r="J28" s="86"/>
      <c r="K28" s="85"/>
      <c r="L28" s="89"/>
      <c r="M28" s="86"/>
      <c r="N28" s="85"/>
      <c r="O28" s="89"/>
    </row>
    <row r="29" spans="1:15">
      <c r="A29" s="85">
        <v>8</v>
      </c>
      <c r="B29" s="86">
        <v>43151</v>
      </c>
      <c r="C29" s="21" t="s">
        <v>59</v>
      </c>
      <c r="D29" s="22">
        <f>(28-22)</f>
        <v>6</v>
      </c>
      <c r="E29" s="23">
        <v>1179.3</v>
      </c>
      <c r="F29" s="24" t="s">
        <v>43</v>
      </c>
      <c r="G29" s="19" t="s">
        <v>32</v>
      </c>
      <c r="H29" s="25">
        <f t="shared" si="5"/>
        <v>59</v>
      </c>
      <c r="J29" s="86"/>
      <c r="K29" s="85"/>
      <c r="L29" s="89"/>
      <c r="M29" s="86"/>
      <c r="N29" s="85"/>
      <c r="O29" s="89"/>
    </row>
    <row r="30" spans="1:15">
      <c r="A30" s="85">
        <v>9</v>
      </c>
      <c r="B30" s="86"/>
      <c r="C30" s="86"/>
      <c r="D30" s="88"/>
      <c r="E30" s="89"/>
      <c r="F30" s="24"/>
      <c r="G30" s="85"/>
      <c r="H30" s="85"/>
      <c r="J30" s="86"/>
      <c r="K30" s="85"/>
      <c r="L30" s="89"/>
      <c r="M30" s="86"/>
      <c r="N30" s="85"/>
      <c r="O30" s="89"/>
    </row>
    <row r="31" spans="1:29">
      <c r="A31" s="85">
        <v>10</v>
      </c>
      <c r="B31" s="86"/>
      <c r="C31" s="86"/>
      <c r="D31" s="88"/>
      <c r="E31" s="89"/>
      <c r="F31" s="24"/>
      <c r="G31" s="85"/>
      <c r="H31" s="85"/>
      <c r="J31" s="86"/>
      <c r="K31" s="85"/>
      <c r="L31" s="89"/>
      <c r="M31" s="86"/>
      <c r="N31" s="85"/>
      <c r="O31" s="89"/>
      <c r="AC31" s="50">
        <f t="shared" ref="AC31:AC33" si="8">SUM(R31:AB31)</f>
        <v>0</v>
      </c>
    </row>
    <row r="32" spans="1:29">
      <c r="A32" s="85">
        <v>11</v>
      </c>
      <c r="B32" s="86"/>
      <c r="C32" s="86"/>
      <c r="D32" s="88"/>
      <c r="E32" s="89"/>
      <c r="F32" s="24"/>
      <c r="G32" s="85"/>
      <c r="H32" s="85"/>
      <c r="J32" s="86"/>
      <c r="K32" s="85"/>
      <c r="L32" s="89"/>
      <c r="M32" s="86"/>
      <c r="N32" s="85"/>
      <c r="O32" s="89"/>
      <c r="AC32" s="50">
        <f t="shared" si="8"/>
        <v>0</v>
      </c>
    </row>
    <row r="33" ht="30" customHeight="1" spans="1:29">
      <c r="A33" s="82" t="s">
        <v>60</v>
      </c>
      <c r="B33" s="93"/>
      <c r="C33" s="94"/>
      <c r="D33" s="95">
        <f t="shared" ref="D33:H33" si="9">SUM(D34:D44)</f>
        <v>20</v>
      </c>
      <c r="E33" s="63">
        <f t="shared" si="9"/>
        <v>4280.66</v>
      </c>
      <c r="F33" s="94"/>
      <c r="G33" s="94"/>
      <c r="H33" s="63">
        <f t="shared" si="9"/>
        <v>214.1</v>
      </c>
      <c r="J33" s="84"/>
      <c r="K33" s="84"/>
      <c r="L33" s="16">
        <f>SUM(L34:L44)</f>
        <v>623</v>
      </c>
      <c r="M33" s="84"/>
      <c r="N33" s="84"/>
      <c r="O33" s="107">
        <f>E33-H33-L33</f>
        <v>3443.56</v>
      </c>
      <c r="R33" s="48">
        <f>SUM(R34:R39)</f>
        <v>214.1</v>
      </c>
      <c r="T33" s="49">
        <f>SUM(T34:T39)</f>
        <v>623</v>
      </c>
      <c r="AC33" s="50">
        <f t="shared" si="8"/>
        <v>837.1</v>
      </c>
    </row>
    <row r="34" spans="1:22">
      <c r="A34" s="96">
        <v>1</v>
      </c>
      <c r="B34" s="86">
        <v>43160</v>
      </c>
      <c r="C34" s="21">
        <v>3.1</v>
      </c>
      <c r="D34" s="22">
        <v>1</v>
      </c>
      <c r="E34" s="23">
        <v>178.2</v>
      </c>
      <c r="F34" s="24" t="s">
        <v>57</v>
      </c>
      <c r="G34" s="19" t="s">
        <v>27</v>
      </c>
      <c r="H34" s="25">
        <v>8.9</v>
      </c>
      <c r="J34" s="40">
        <v>43160</v>
      </c>
      <c r="K34" s="85" t="s">
        <v>26</v>
      </c>
      <c r="L34" s="89">
        <v>105</v>
      </c>
      <c r="M34" s="40" t="s">
        <v>32</v>
      </c>
      <c r="N34" s="85" t="s">
        <v>56</v>
      </c>
      <c r="O34" s="89"/>
      <c r="Q34" s="48" t="s">
        <v>27</v>
      </c>
      <c r="R34" s="48">
        <f t="shared" ref="R34:R39" si="10">SUMIF($G$34:$G$44,Q34,$H$34:$H$44)</f>
        <v>19.6</v>
      </c>
      <c r="S34" s="48" t="s">
        <v>26</v>
      </c>
      <c r="T34" s="48">
        <f t="shared" ref="T34:T39" si="11">SUMIF($K$34:$K$44,S34,$L$34:$L$44)</f>
        <v>455</v>
      </c>
      <c r="U34" s="48" t="s">
        <v>28</v>
      </c>
      <c r="V34" s="49">
        <f>O33</f>
        <v>3443.56</v>
      </c>
    </row>
    <row r="35" spans="1:23">
      <c r="A35" s="96">
        <v>2</v>
      </c>
      <c r="B35" s="86">
        <v>43161</v>
      </c>
      <c r="C35" s="21">
        <v>3.2</v>
      </c>
      <c r="D35" s="22">
        <v>1</v>
      </c>
      <c r="E35" s="23">
        <v>214.2</v>
      </c>
      <c r="F35" s="97" t="s">
        <v>57</v>
      </c>
      <c r="G35" s="19" t="s">
        <v>27</v>
      </c>
      <c r="H35" s="25">
        <v>10.7</v>
      </c>
      <c r="J35" s="86">
        <v>43161</v>
      </c>
      <c r="K35" s="85" t="s">
        <v>26</v>
      </c>
      <c r="L35" s="89">
        <v>70</v>
      </c>
      <c r="M35" s="86" t="s">
        <v>25</v>
      </c>
      <c r="N35" s="85">
        <v>3.3</v>
      </c>
      <c r="O35" s="89"/>
      <c r="Q35" s="48" t="s">
        <v>25</v>
      </c>
      <c r="R35" s="48">
        <f t="shared" si="10"/>
        <v>57.6</v>
      </c>
      <c r="S35" s="48" t="s">
        <v>29</v>
      </c>
      <c r="T35" s="48">
        <f t="shared" si="11"/>
        <v>0</v>
      </c>
      <c r="U35" s="48" t="s">
        <v>30</v>
      </c>
      <c r="V35" s="49">
        <f>ROUND(V34/2,1)</f>
        <v>1721.8</v>
      </c>
      <c r="W35" s="108">
        <v>0.5</v>
      </c>
    </row>
    <row r="36" spans="1:23">
      <c r="A36" s="96">
        <v>3</v>
      </c>
      <c r="B36" s="86">
        <v>43165</v>
      </c>
      <c r="C36" s="21" t="s">
        <v>61</v>
      </c>
      <c r="D36" s="22">
        <v>5</v>
      </c>
      <c r="E36" s="23">
        <v>997.25</v>
      </c>
      <c r="F36" s="97" t="s">
        <v>43</v>
      </c>
      <c r="G36" s="19" t="s">
        <v>32</v>
      </c>
      <c r="H36" s="25">
        <v>49.9</v>
      </c>
      <c r="J36" s="86">
        <v>43170</v>
      </c>
      <c r="K36" s="85" t="s">
        <v>26</v>
      </c>
      <c r="L36" s="89">
        <v>70</v>
      </c>
      <c r="M36" s="86" t="s">
        <v>25</v>
      </c>
      <c r="N36" s="85">
        <v>3.12</v>
      </c>
      <c r="O36" s="89"/>
      <c r="Q36" s="48" t="s">
        <v>32</v>
      </c>
      <c r="R36" s="48">
        <f t="shared" si="10"/>
        <v>136.9</v>
      </c>
      <c r="S36" s="48" t="s">
        <v>33</v>
      </c>
      <c r="T36" s="48">
        <f t="shared" si="11"/>
        <v>53</v>
      </c>
      <c r="U36" s="48" t="s">
        <v>32</v>
      </c>
      <c r="V36" s="49">
        <f>ROUND(V34/2,1)</f>
        <v>1721.8</v>
      </c>
      <c r="W36" s="108">
        <v>0.5</v>
      </c>
    </row>
    <row r="37" spans="1:20">
      <c r="A37" s="96">
        <v>4</v>
      </c>
      <c r="B37" s="86">
        <v>43169</v>
      </c>
      <c r="C37" s="21" t="s">
        <v>62</v>
      </c>
      <c r="D37" s="22">
        <v>8</v>
      </c>
      <c r="E37" s="23">
        <v>1470.51</v>
      </c>
      <c r="F37" s="97" t="s">
        <v>43</v>
      </c>
      <c r="G37" s="19" t="s">
        <v>32</v>
      </c>
      <c r="H37" s="25">
        <v>73.5</v>
      </c>
      <c r="J37" s="86">
        <v>43171</v>
      </c>
      <c r="K37" s="85" t="s">
        <v>33</v>
      </c>
      <c r="L37" s="89">
        <v>27</v>
      </c>
      <c r="M37" s="86" t="s">
        <v>32</v>
      </c>
      <c r="N37" s="85" t="s">
        <v>63</v>
      </c>
      <c r="O37" s="89"/>
      <c r="Q37" s="48" t="s">
        <v>35</v>
      </c>
      <c r="R37" s="48">
        <f t="shared" si="10"/>
        <v>0</v>
      </c>
      <c r="S37" s="48" t="s">
        <v>36</v>
      </c>
      <c r="T37" s="48">
        <f t="shared" si="11"/>
        <v>115</v>
      </c>
    </row>
    <row r="38" spans="1:20">
      <c r="A38" s="96">
        <v>5</v>
      </c>
      <c r="B38" s="86">
        <v>43181</v>
      </c>
      <c r="C38" s="21" t="s">
        <v>64</v>
      </c>
      <c r="D38" s="22">
        <v>2</v>
      </c>
      <c r="E38" s="23">
        <v>591.3</v>
      </c>
      <c r="F38" s="24" t="s">
        <v>24</v>
      </c>
      <c r="G38" s="19" t="s">
        <v>25</v>
      </c>
      <c r="H38" s="25">
        <f t="shared" ref="H38:H41" si="12">ROUND(E38*0.05,1)</f>
        <v>29.6</v>
      </c>
      <c r="J38" s="86">
        <v>43180</v>
      </c>
      <c r="K38" s="85" t="s">
        <v>26</v>
      </c>
      <c r="L38" s="89">
        <v>70</v>
      </c>
      <c r="M38" s="86" t="s">
        <v>32</v>
      </c>
      <c r="N38" s="85" t="s">
        <v>56</v>
      </c>
      <c r="O38" s="89"/>
      <c r="Q38" s="48" t="s">
        <v>30</v>
      </c>
      <c r="R38" s="48">
        <f t="shared" si="10"/>
        <v>0</v>
      </c>
      <c r="S38" s="48" t="s">
        <v>38</v>
      </c>
      <c r="T38" s="48">
        <f t="shared" si="11"/>
        <v>0</v>
      </c>
    </row>
    <row r="39" spans="1:20">
      <c r="A39" s="96">
        <v>6</v>
      </c>
      <c r="B39" s="86">
        <v>43182</v>
      </c>
      <c r="C39" s="21">
        <v>3.24</v>
      </c>
      <c r="D39" s="88">
        <v>1</v>
      </c>
      <c r="E39" s="89">
        <v>280</v>
      </c>
      <c r="F39" s="24" t="s">
        <v>37</v>
      </c>
      <c r="G39" s="85" t="s">
        <v>25</v>
      </c>
      <c r="H39" s="25">
        <f t="shared" si="12"/>
        <v>14</v>
      </c>
      <c r="J39" s="86">
        <v>43181</v>
      </c>
      <c r="K39" s="85" t="s">
        <v>33</v>
      </c>
      <c r="L39" s="89">
        <v>26</v>
      </c>
      <c r="M39" s="86" t="s">
        <v>32</v>
      </c>
      <c r="N39" s="85" t="s">
        <v>65</v>
      </c>
      <c r="O39" s="89"/>
      <c r="Q39" s="48" t="s">
        <v>39</v>
      </c>
      <c r="R39" s="48">
        <f t="shared" si="10"/>
        <v>0</v>
      </c>
      <c r="S39" s="48" t="s">
        <v>40</v>
      </c>
      <c r="T39" s="48">
        <f t="shared" si="11"/>
        <v>0</v>
      </c>
    </row>
    <row r="40" spans="1:15">
      <c r="A40" s="96">
        <v>7</v>
      </c>
      <c r="B40" s="86">
        <v>43184</v>
      </c>
      <c r="C40" s="21">
        <v>3.25</v>
      </c>
      <c r="D40" s="88">
        <v>1</v>
      </c>
      <c r="E40" s="89">
        <v>280</v>
      </c>
      <c r="F40" s="24" t="s">
        <v>37</v>
      </c>
      <c r="G40" s="85" t="s">
        <v>25</v>
      </c>
      <c r="H40" s="25">
        <f t="shared" si="12"/>
        <v>14</v>
      </c>
      <c r="J40" s="86">
        <v>43182</v>
      </c>
      <c r="K40" s="85" t="s">
        <v>26</v>
      </c>
      <c r="L40" s="89">
        <v>70</v>
      </c>
      <c r="M40" s="86" t="s">
        <v>25</v>
      </c>
      <c r="N40" s="85">
        <v>3.24</v>
      </c>
      <c r="O40" s="89"/>
    </row>
    <row r="41" spans="1:18">
      <c r="A41" s="96">
        <v>8</v>
      </c>
      <c r="B41" s="86">
        <v>43184</v>
      </c>
      <c r="C41" s="34">
        <v>3.3</v>
      </c>
      <c r="D41" s="88">
        <v>1</v>
      </c>
      <c r="E41" s="89">
        <v>269.2</v>
      </c>
      <c r="F41" s="24" t="s">
        <v>43</v>
      </c>
      <c r="G41" s="85" t="s">
        <v>32</v>
      </c>
      <c r="H41" s="25">
        <f t="shared" si="12"/>
        <v>13.5</v>
      </c>
      <c r="J41" s="86">
        <v>43190</v>
      </c>
      <c r="K41" s="85" t="s">
        <v>36</v>
      </c>
      <c r="L41" s="89">
        <v>115</v>
      </c>
      <c r="M41" s="86" t="s">
        <v>32</v>
      </c>
      <c r="N41" s="85" t="s">
        <v>66</v>
      </c>
      <c r="O41" s="89"/>
      <c r="Q41" s="48" t="s">
        <v>67</v>
      </c>
      <c r="R41" s="48">
        <f>R34+顶峰!R35+颐和!R27+锦苑!R30+五里墩!R30+九里堤!R30+大隐!R33+龙猫!R30+金琴!R30+营康路!R30</f>
        <v>605</v>
      </c>
    </row>
    <row r="42" spans="1:18">
      <c r="A42" s="96">
        <v>9</v>
      </c>
      <c r="B42" s="86"/>
      <c r="C42" s="86"/>
      <c r="D42" s="88"/>
      <c r="E42" s="89"/>
      <c r="F42" s="24"/>
      <c r="G42" s="85"/>
      <c r="H42" s="85"/>
      <c r="J42" s="86">
        <v>43190</v>
      </c>
      <c r="K42" s="85" t="s">
        <v>26</v>
      </c>
      <c r="L42" s="89">
        <v>70</v>
      </c>
      <c r="M42" s="86" t="s">
        <v>32</v>
      </c>
      <c r="N42" s="85" t="s">
        <v>56</v>
      </c>
      <c r="O42" s="89"/>
      <c r="Q42" s="48" t="s">
        <v>68</v>
      </c>
      <c r="R42" s="48">
        <f>R35+顶峰!R36+颐和!R28+锦苑!R31+五里墩!R31+九里堤!R31+大隐!R34+龙猫!R31+金琴!R31+营康路!R31</f>
        <v>758.5</v>
      </c>
    </row>
    <row r="43" spans="1:18">
      <c r="A43" s="96">
        <v>10</v>
      </c>
      <c r="B43" s="86"/>
      <c r="C43" s="86"/>
      <c r="D43" s="88"/>
      <c r="E43" s="89"/>
      <c r="F43" s="24"/>
      <c r="G43" s="85"/>
      <c r="H43" s="85"/>
      <c r="J43" s="86"/>
      <c r="K43" s="85"/>
      <c r="L43" s="89"/>
      <c r="M43" s="86"/>
      <c r="N43" s="85"/>
      <c r="O43" s="89"/>
      <c r="Q43" s="48" t="s">
        <v>69</v>
      </c>
      <c r="R43" s="48">
        <f>R36+顶峰!R37+颐和!R29+锦苑!R32+五里墩!R32+九里堤!R32+大隐!R35+龙猫!R32+金琴!R32+营康路!R32</f>
        <v>599.2</v>
      </c>
    </row>
    <row r="44" spans="1:15">
      <c r="A44" s="96">
        <v>11</v>
      </c>
      <c r="B44" s="86"/>
      <c r="C44" s="86"/>
      <c r="D44" s="88"/>
      <c r="E44" s="89"/>
      <c r="F44" s="24"/>
      <c r="G44" s="85"/>
      <c r="H44" s="85"/>
      <c r="J44" s="86"/>
      <c r="K44" s="85"/>
      <c r="L44" s="89"/>
      <c r="M44" s="86"/>
      <c r="N44" s="85"/>
      <c r="O44" s="89"/>
    </row>
    <row r="45" ht="30" customHeight="1" spans="1:20">
      <c r="A45" s="82" t="s">
        <v>70</v>
      </c>
      <c r="B45" s="98"/>
      <c r="C45" s="99"/>
      <c r="D45" s="100">
        <f>SUM(D46:D60)</f>
        <v>22</v>
      </c>
      <c r="E45" s="101">
        <f>SUM(E46:E60)</f>
        <v>5439.6</v>
      </c>
      <c r="F45" s="99"/>
      <c r="G45" s="99"/>
      <c r="H45" s="101">
        <f>SUM(H46:H60)</f>
        <v>271.9</v>
      </c>
      <c r="J45" s="84"/>
      <c r="K45" s="84"/>
      <c r="L45" s="16">
        <f>SUM(L46:L60)</f>
        <v>0</v>
      </c>
      <c r="M45" s="84"/>
      <c r="N45" s="84"/>
      <c r="O45" s="16"/>
      <c r="R45" s="48">
        <f>SUM(R46:R51)</f>
        <v>214.1</v>
      </c>
      <c r="T45" s="49">
        <f>SUM(T46:T51)</f>
        <v>623</v>
      </c>
    </row>
    <row r="46" spans="1:22">
      <c r="A46" s="85">
        <v>1</v>
      </c>
      <c r="B46" s="86">
        <v>43192</v>
      </c>
      <c r="C46" s="21">
        <v>4.2</v>
      </c>
      <c r="D46" s="22">
        <v>1</v>
      </c>
      <c r="E46" s="23">
        <v>232.2</v>
      </c>
      <c r="F46" s="24" t="s">
        <v>24</v>
      </c>
      <c r="G46" s="19" t="s">
        <v>25</v>
      </c>
      <c r="H46" s="25">
        <f t="shared" ref="H46:H56" si="13">ROUND(E46*0.05,1)</f>
        <v>11.6</v>
      </c>
      <c r="J46" s="40"/>
      <c r="K46" s="85"/>
      <c r="L46" s="89"/>
      <c r="M46" s="40"/>
      <c r="N46" s="85"/>
      <c r="O46" s="89"/>
      <c r="Q46" s="48" t="s">
        <v>27</v>
      </c>
      <c r="R46" s="48">
        <f t="shared" ref="R46:R51" si="14">SUMIF($G$34:$G$44,Q46,$H$34:$H$44)</f>
        <v>19.6</v>
      </c>
      <c r="S46" s="48" t="s">
        <v>26</v>
      </c>
      <c r="T46" s="48">
        <f t="shared" ref="T46:T51" si="15">SUMIF($K$34:$K$44,S46,$L$34:$L$44)</f>
        <v>455</v>
      </c>
      <c r="U46" s="48" t="s">
        <v>28</v>
      </c>
      <c r="V46" s="49">
        <f>O45</f>
        <v>0</v>
      </c>
    </row>
    <row r="47" spans="1:23">
      <c r="A47" s="85">
        <v>2</v>
      </c>
      <c r="B47" s="86">
        <v>43172</v>
      </c>
      <c r="C47" s="21" t="s">
        <v>71</v>
      </c>
      <c r="D47" s="22">
        <v>4</v>
      </c>
      <c r="E47" s="23">
        <v>1135.8</v>
      </c>
      <c r="F47" s="32" t="s">
        <v>24</v>
      </c>
      <c r="G47" s="19" t="s">
        <v>25</v>
      </c>
      <c r="H47" s="25">
        <f t="shared" si="13"/>
        <v>56.8</v>
      </c>
      <c r="J47" s="86"/>
      <c r="K47" s="85"/>
      <c r="L47" s="89"/>
      <c r="M47" s="86"/>
      <c r="N47" s="85"/>
      <c r="O47" s="89"/>
      <c r="Q47" s="48" t="s">
        <v>25</v>
      </c>
      <c r="R47" s="48">
        <f t="shared" si="14"/>
        <v>57.6</v>
      </c>
      <c r="S47" s="48" t="s">
        <v>29</v>
      </c>
      <c r="T47" s="48">
        <f t="shared" si="15"/>
        <v>0</v>
      </c>
      <c r="U47" s="48" t="s">
        <v>30</v>
      </c>
      <c r="V47" s="49">
        <f>ROUND(V46/2,1)</f>
        <v>0</v>
      </c>
      <c r="W47" s="108">
        <v>0.5</v>
      </c>
    </row>
    <row r="48" spans="1:23">
      <c r="A48" s="85">
        <v>3</v>
      </c>
      <c r="B48" s="86">
        <v>43193</v>
      </c>
      <c r="C48" s="21" t="s">
        <v>72</v>
      </c>
      <c r="D48" s="22">
        <v>2</v>
      </c>
      <c r="E48" s="23">
        <v>644.4</v>
      </c>
      <c r="F48" s="24" t="s">
        <v>46</v>
      </c>
      <c r="G48" s="19" t="s">
        <v>25</v>
      </c>
      <c r="H48" s="25">
        <f t="shared" si="13"/>
        <v>32.2</v>
      </c>
      <c r="J48" s="86"/>
      <c r="K48" s="85"/>
      <c r="L48" s="89"/>
      <c r="M48" s="86"/>
      <c r="N48" s="85"/>
      <c r="O48" s="89"/>
      <c r="Q48" s="48" t="s">
        <v>32</v>
      </c>
      <c r="R48" s="48">
        <f t="shared" si="14"/>
        <v>136.9</v>
      </c>
      <c r="S48" s="48" t="s">
        <v>33</v>
      </c>
      <c r="T48" s="48">
        <f t="shared" si="15"/>
        <v>53</v>
      </c>
      <c r="U48" s="48" t="s">
        <v>32</v>
      </c>
      <c r="V48" s="49">
        <f>ROUND(V46/2,1)</f>
        <v>0</v>
      </c>
      <c r="W48" s="108">
        <v>0.5</v>
      </c>
    </row>
    <row r="49" spans="1:20">
      <c r="A49" s="85">
        <v>4</v>
      </c>
      <c r="B49" s="86">
        <v>43200</v>
      </c>
      <c r="C49" s="34">
        <v>4.1</v>
      </c>
      <c r="D49" s="22">
        <v>1</v>
      </c>
      <c r="E49" s="23">
        <v>214.2</v>
      </c>
      <c r="F49" s="24" t="s">
        <v>24</v>
      </c>
      <c r="G49" s="19" t="s">
        <v>25</v>
      </c>
      <c r="H49" s="25">
        <f t="shared" si="13"/>
        <v>10.7</v>
      </c>
      <c r="J49" s="86"/>
      <c r="K49" s="85"/>
      <c r="L49" s="89"/>
      <c r="M49" s="86"/>
      <c r="N49" s="85"/>
      <c r="O49" s="89"/>
      <c r="Q49" s="48" t="s">
        <v>35</v>
      </c>
      <c r="R49" s="48">
        <f t="shared" si="14"/>
        <v>0</v>
      </c>
      <c r="S49" s="48" t="s">
        <v>36</v>
      </c>
      <c r="T49" s="48">
        <f t="shared" si="15"/>
        <v>115</v>
      </c>
    </row>
    <row r="50" spans="1:20">
      <c r="A50" s="85">
        <v>5</v>
      </c>
      <c r="B50" s="86">
        <v>43203</v>
      </c>
      <c r="C50" s="21">
        <v>4.13</v>
      </c>
      <c r="D50" s="22">
        <v>1</v>
      </c>
      <c r="E50" s="23">
        <v>214.2</v>
      </c>
      <c r="F50" s="24" t="s">
        <v>46</v>
      </c>
      <c r="G50" s="19" t="s">
        <v>25</v>
      </c>
      <c r="H50" s="25">
        <f t="shared" si="13"/>
        <v>10.7</v>
      </c>
      <c r="J50" s="86"/>
      <c r="K50" s="85"/>
      <c r="L50" s="89"/>
      <c r="M50" s="86"/>
      <c r="N50" s="85"/>
      <c r="O50" s="89"/>
      <c r="Q50" s="48" t="s">
        <v>30</v>
      </c>
      <c r="R50" s="48">
        <f t="shared" si="14"/>
        <v>0</v>
      </c>
      <c r="S50" s="48" t="s">
        <v>38</v>
      </c>
      <c r="T50" s="48">
        <f t="shared" si="15"/>
        <v>0</v>
      </c>
    </row>
    <row r="51" spans="1:20">
      <c r="A51" s="85">
        <v>6</v>
      </c>
      <c r="B51" s="86">
        <v>43203</v>
      </c>
      <c r="C51" s="21">
        <v>4.14</v>
      </c>
      <c r="D51" s="22">
        <v>1</v>
      </c>
      <c r="E51" s="23">
        <v>214.2</v>
      </c>
      <c r="F51" s="24" t="s">
        <v>46</v>
      </c>
      <c r="G51" s="19" t="s">
        <v>25</v>
      </c>
      <c r="H51" s="25">
        <f t="shared" si="13"/>
        <v>10.7</v>
      </c>
      <c r="J51" s="86"/>
      <c r="K51" s="85"/>
      <c r="L51" s="89"/>
      <c r="M51" s="86"/>
      <c r="N51" s="85"/>
      <c r="O51" s="89"/>
      <c r="Q51" s="48" t="s">
        <v>39</v>
      </c>
      <c r="R51" s="48">
        <f t="shared" si="14"/>
        <v>0</v>
      </c>
      <c r="S51" s="48" t="s">
        <v>40</v>
      </c>
      <c r="T51" s="48">
        <f t="shared" si="15"/>
        <v>0</v>
      </c>
    </row>
    <row r="52" spans="1:15">
      <c r="A52" s="85">
        <v>7</v>
      </c>
      <c r="B52" s="86">
        <v>43206</v>
      </c>
      <c r="C52" s="21" t="s">
        <v>73</v>
      </c>
      <c r="D52" s="22">
        <v>4</v>
      </c>
      <c r="E52" s="23">
        <v>856.8</v>
      </c>
      <c r="F52" s="24" t="s">
        <v>24</v>
      </c>
      <c r="G52" s="19" t="s">
        <v>25</v>
      </c>
      <c r="H52" s="25">
        <f t="shared" si="13"/>
        <v>42.8</v>
      </c>
      <c r="J52" s="86"/>
      <c r="K52" s="85"/>
      <c r="L52" s="89"/>
      <c r="M52" s="86"/>
      <c r="N52" s="85"/>
      <c r="O52" s="89"/>
    </row>
    <row r="53" spans="1:18">
      <c r="A53" s="85">
        <v>8</v>
      </c>
      <c r="B53" s="86">
        <v>43207</v>
      </c>
      <c r="C53" s="21">
        <v>4.17</v>
      </c>
      <c r="D53" s="22">
        <v>1</v>
      </c>
      <c r="E53" s="23">
        <v>214.2</v>
      </c>
      <c r="F53" s="24" t="s">
        <v>24</v>
      </c>
      <c r="G53" s="19" t="s">
        <v>25</v>
      </c>
      <c r="H53" s="25">
        <f t="shared" si="13"/>
        <v>10.7</v>
      </c>
      <c r="J53" s="86"/>
      <c r="K53" s="85"/>
      <c r="L53" s="89"/>
      <c r="M53" s="86"/>
      <c r="N53" s="85"/>
      <c r="O53" s="89"/>
      <c r="Q53" s="48" t="s">
        <v>67</v>
      </c>
      <c r="R53" s="48">
        <f>R46+顶峰!R47+颐和!R39+锦苑!R42+五里墩!R42+九里堤!R42+大隐!R45+龙猫!R42+金琴!R42+营康路!R42</f>
        <v>274.9</v>
      </c>
    </row>
    <row r="54" spans="1:18">
      <c r="A54" s="85">
        <v>9</v>
      </c>
      <c r="B54" s="86">
        <v>43209</v>
      </c>
      <c r="C54" s="21">
        <v>4.19</v>
      </c>
      <c r="D54" s="22">
        <v>1</v>
      </c>
      <c r="E54" s="23">
        <v>214.2</v>
      </c>
      <c r="F54" s="27" t="s">
        <v>46</v>
      </c>
      <c r="G54" s="19" t="s">
        <v>25</v>
      </c>
      <c r="H54" s="25">
        <f t="shared" si="13"/>
        <v>10.7</v>
      </c>
      <c r="J54" s="86"/>
      <c r="K54" s="85"/>
      <c r="L54" s="89"/>
      <c r="M54" s="86"/>
      <c r="N54" s="85"/>
      <c r="O54" s="89"/>
      <c r="Q54" s="48" t="s">
        <v>68</v>
      </c>
      <c r="R54" s="48">
        <f>R47+顶峰!R48+颐和!R40+锦苑!R43+五里墩!R43+九里堤!R43+大隐!R46+龙猫!R43+金琴!R43+营康路!R43</f>
        <v>228.2</v>
      </c>
    </row>
    <row r="55" spans="1:18">
      <c r="A55" s="85">
        <v>10</v>
      </c>
      <c r="B55" s="86">
        <v>43201</v>
      </c>
      <c r="C55" s="21" t="s">
        <v>74</v>
      </c>
      <c r="D55" s="22">
        <v>2</v>
      </c>
      <c r="E55" s="23">
        <f>ROUND(1314/5*2,1)</f>
        <v>525.6</v>
      </c>
      <c r="F55" s="24" t="s">
        <v>24</v>
      </c>
      <c r="G55" s="19" t="s">
        <v>25</v>
      </c>
      <c r="H55" s="25">
        <f t="shared" si="13"/>
        <v>26.3</v>
      </c>
      <c r="J55" s="86"/>
      <c r="K55" s="85"/>
      <c r="L55" s="89"/>
      <c r="M55" s="86"/>
      <c r="N55" s="85"/>
      <c r="O55" s="89"/>
      <c r="Q55" s="48" t="s">
        <v>69</v>
      </c>
      <c r="R55" s="48">
        <f>R48+顶峰!R49+颐和!R41+锦苑!R44+五里墩!R44+九里堤!R44+大隐!R47+龙猫!R44+金琴!R44+营康路!R44</f>
        <v>445.9</v>
      </c>
    </row>
    <row r="56" spans="1:15">
      <c r="A56" s="85"/>
      <c r="B56" s="86">
        <v>43214</v>
      </c>
      <c r="C56" s="21">
        <v>4.25</v>
      </c>
      <c r="D56" s="22">
        <v>1</v>
      </c>
      <c r="E56" s="23">
        <v>214.2</v>
      </c>
      <c r="F56" s="24" t="s">
        <v>46</v>
      </c>
      <c r="G56" s="19" t="s">
        <v>25</v>
      </c>
      <c r="H56" s="25">
        <f t="shared" si="13"/>
        <v>10.7</v>
      </c>
      <c r="J56" s="86"/>
      <c r="K56" s="85"/>
      <c r="L56" s="89"/>
      <c r="M56" s="86"/>
      <c r="N56" s="85"/>
      <c r="O56" s="89"/>
    </row>
    <row r="57" spans="1:15">
      <c r="A57" s="85"/>
      <c r="B57" s="86"/>
      <c r="C57" s="21"/>
      <c r="D57" s="22"/>
      <c r="E57" s="23"/>
      <c r="F57" s="24"/>
      <c r="G57" s="19"/>
      <c r="H57" s="25"/>
      <c r="J57" s="86"/>
      <c r="K57" s="85"/>
      <c r="L57" s="89"/>
      <c r="M57" s="86"/>
      <c r="N57" s="85"/>
      <c r="O57" s="89"/>
    </row>
    <row r="58" spans="1:15">
      <c r="A58" s="85"/>
      <c r="B58" s="86"/>
      <c r="C58" s="21"/>
      <c r="D58" s="22"/>
      <c r="E58" s="23"/>
      <c r="F58" s="24"/>
      <c r="G58" s="19"/>
      <c r="H58" s="25"/>
      <c r="J58" s="86"/>
      <c r="K58" s="85"/>
      <c r="L58" s="89"/>
      <c r="M58" s="86"/>
      <c r="N58" s="85"/>
      <c r="O58" s="89"/>
    </row>
    <row r="59" spans="1:15">
      <c r="A59" s="85"/>
      <c r="B59" s="86"/>
      <c r="C59" s="21"/>
      <c r="D59" s="22"/>
      <c r="E59" s="23"/>
      <c r="F59" s="24"/>
      <c r="G59" s="19"/>
      <c r="H59" s="25"/>
      <c r="J59" s="86"/>
      <c r="K59" s="85"/>
      <c r="L59" s="89"/>
      <c r="M59" s="86"/>
      <c r="N59" s="85"/>
      <c r="O59" s="89"/>
    </row>
    <row r="60" spans="1:15">
      <c r="A60" s="85">
        <v>11</v>
      </c>
      <c r="B60" s="86">
        <v>43211</v>
      </c>
      <c r="C60" s="21" t="s">
        <v>75</v>
      </c>
      <c r="D60" s="22">
        <v>3</v>
      </c>
      <c r="E60" s="23">
        <v>759.6</v>
      </c>
      <c r="F60" s="24" t="s">
        <v>46</v>
      </c>
      <c r="G60" s="19" t="s">
        <v>25</v>
      </c>
      <c r="H60" s="25">
        <f>ROUND(E60*0.05,1)</f>
        <v>38</v>
      </c>
      <c r="J60" s="86"/>
      <c r="K60" s="85"/>
      <c r="L60" s="89"/>
      <c r="M60" s="86"/>
      <c r="N60" s="85"/>
      <c r="O60" s="89"/>
    </row>
    <row r="61" ht="30" customHeight="1" spans="1:15">
      <c r="A61" s="82" t="s">
        <v>76</v>
      </c>
      <c r="B61" s="83"/>
      <c r="C61" s="84"/>
      <c r="D61" s="15">
        <f t="shared" ref="D61:H61" si="16">SUM(D62:D72)</f>
        <v>14</v>
      </c>
      <c r="E61" s="16">
        <f t="shared" si="16"/>
        <v>2860.2</v>
      </c>
      <c r="F61" s="84"/>
      <c r="G61" s="84"/>
      <c r="H61" s="16">
        <f t="shared" si="16"/>
        <v>143</v>
      </c>
      <c r="J61" s="84"/>
      <c r="K61" s="84"/>
      <c r="L61" s="16">
        <f>SUM(L62:L72)</f>
        <v>0</v>
      </c>
      <c r="M61" s="84"/>
      <c r="N61" s="84"/>
      <c r="O61" s="16"/>
    </row>
    <row r="62" spans="1:15">
      <c r="A62" s="85">
        <v>1</v>
      </c>
      <c r="B62" s="86">
        <v>43201</v>
      </c>
      <c r="C62" s="21" t="s">
        <v>77</v>
      </c>
      <c r="D62" s="22">
        <v>3</v>
      </c>
      <c r="E62" s="23">
        <f>ROUND(1314/5*3,1)</f>
        <v>788.4</v>
      </c>
      <c r="F62" s="24" t="s">
        <v>24</v>
      </c>
      <c r="G62" s="19" t="s">
        <v>25</v>
      </c>
      <c r="H62" s="25">
        <f>ROUND(E62*0.05,1)</f>
        <v>39.4</v>
      </c>
      <c r="J62" s="40"/>
      <c r="K62" s="85"/>
      <c r="L62" s="89"/>
      <c r="M62" s="40"/>
      <c r="N62" s="85"/>
      <c r="O62" s="89"/>
    </row>
    <row r="63" spans="1:15">
      <c r="A63" s="85">
        <v>2</v>
      </c>
      <c r="B63" s="86">
        <v>43207</v>
      </c>
      <c r="C63" s="21" t="s">
        <v>78</v>
      </c>
      <c r="D63" s="22">
        <v>2</v>
      </c>
      <c r="E63" s="23">
        <v>428.4</v>
      </c>
      <c r="F63" s="24" t="s">
        <v>24</v>
      </c>
      <c r="G63" s="19" t="s">
        <v>25</v>
      </c>
      <c r="H63" s="25">
        <f>ROUND(E63*0.05,1)</f>
        <v>21.4</v>
      </c>
      <c r="J63" s="86"/>
      <c r="K63" s="85"/>
      <c r="L63" s="89"/>
      <c r="M63" s="86"/>
      <c r="N63" s="85"/>
      <c r="O63" s="89"/>
    </row>
    <row r="64" spans="1:15">
      <c r="A64" s="85">
        <v>3</v>
      </c>
      <c r="B64" s="86"/>
      <c r="C64" s="86"/>
      <c r="D64" s="88"/>
      <c r="E64" s="89"/>
      <c r="F64" s="24"/>
      <c r="G64" s="85"/>
      <c r="H64" s="85"/>
      <c r="J64" s="86"/>
      <c r="K64" s="85"/>
      <c r="L64" s="89"/>
      <c r="M64" s="86"/>
      <c r="N64" s="85"/>
      <c r="O64" s="89"/>
    </row>
    <row r="65" spans="1:15">
      <c r="A65" s="85">
        <v>4</v>
      </c>
      <c r="B65" s="86"/>
      <c r="C65" s="86"/>
      <c r="D65" s="88"/>
      <c r="E65" s="89"/>
      <c r="F65" s="24"/>
      <c r="G65" s="85"/>
      <c r="H65" s="85"/>
      <c r="J65" s="86"/>
      <c r="K65" s="85"/>
      <c r="L65" s="89"/>
      <c r="M65" s="86"/>
      <c r="N65" s="85"/>
      <c r="O65" s="89"/>
    </row>
    <row r="66" spans="1:15">
      <c r="A66" s="85">
        <v>5</v>
      </c>
      <c r="B66" s="86"/>
      <c r="C66" s="86"/>
      <c r="D66" s="88"/>
      <c r="E66" s="89"/>
      <c r="F66" s="24"/>
      <c r="G66" s="85"/>
      <c r="H66" s="85"/>
      <c r="J66" s="86"/>
      <c r="K66" s="85"/>
      <c r="L66" s="89"/>
      <c r="M66" s="86"/>
      <c r="N66" s="85"/>
      <c r="O66" s="89"/>
    </row>
    <row r="67" spans="1:15">
      <c r="A67" s="85">
        <v>6</v>
      </c>
      <c r="B67" s="86"/>
      <c r="C67" s="86"/>
      <c r="D67" s="88"/>
      <c r="E67" s="89"/>
      <c r="F67" s="24"/>
      <c r="G67" s="85"/>
      <c r="H67" s="85"/>
      <c r="J67" s="86"/>
      <c r="K67" s="85"/>
      <c r="L67" s="89"/>
      <c r="M67" s="86"/>
      <c r="N67" s="85"/>
      <c r="O67" s="89"/>
    </row>
    <row r="68" spans="1:15">
      <c r="A68" s="85">
        <v>7</v>
      </c>
      <c r="B68" s="86"/>
      <c r="C68" s="86"/>
      <c r="D68" s="88"/>
      <c r="E68" s="89"/>
      <c r="F68" s="24"/>
      <c r="G68" s="85"/>
      <c r="H68" s="85"/>
      <c r="J68" s="86"/>
      <c r="K68" s="85"/>
      <c r="L68" s="89"/>
      <c r="M68" s="86"/>
      <c r="N68" s="85"/>
      <c r="O68" s="89"/>
    </row>
    <row r="69" spans="1:15">
      <c r="A69" s="85">
        <v>8</v>
      </c>
      <c r="B69" s="86"/>
      <c r="C69" s="86"/>
      <c r="D69" s="88"/>
      <c r="E69" s="89"/>
      <c r="F69" s="24"/>
      <c r="G69" s="85"/>
      <c r="H69" s="85"/>
      <c r="J69" s="86"/>
      <c r="K69" s="85"/>
      <c r="L69" s="89"/>
      <c r="M69" s="86"/>
      <c r="N69" s="85"/>
      <c r="O69" s="89"/>
    </row>
    <row r="70" spans="1:15">
      <c r="A70" s="85">
        <v>9</v>
      </c>
      <c r="B70" s="86"/>
      <c r="C70" s="86"/>
      <c r="D70" s="88"/>
      <c r="E70" s="89"/>
      <c r="F70" s="24"/>
      <c r="G70" s="85"/>
      <c r="H70" s="85"/>
      <c r="J70" s="86"/>
      <c r="K70" s="85"/>
      <c r="L70" s="89"/>
      <c r="M70" s="86"/>
      <c r="N70" s="85"/>
      <c r="O70" s="89"/>
    </row>
    <row r="71" spans="1:15">
      <c r="A71" s="85">
        <v>10</v>
      </c>
      <c r="B71" s="86"/>
      <c r="C71" s="86"/>
      <c r="D71" s="88"/>
      <c r="E71" s="89"/>
      <c r="F71" s="24"/>
      <c r="G71" s="85"/>
      <c r="H71" s="85"/>
      <c r="J71" s="86"/>
      <c r="K71" s="85"/>
      <c r="L71" s="89"/>
      <c r="M71" s="86"/>
      <c r="N71" s="85"/>
      <c r="O71" s="89"/>
    </row>
    <row r="72" spans="1:15">
      <c r="A72" s="85">
        <v>11</v>
      </c>
      <c r="B72" s="86">
        <v>43215</v>
      </c>
      <c r="C72" s="21" t="s">
        <v>79</v>
      </c>
      <c r="D72" s="22">
        <v>9</v>
      </c>
      <c r="E72" s="23">
        <v>1643.4</v>
      </c>
      <c r="F72" s="24" t="s">
        <v>43</v>
      </c>
      <c r="G72" s="19" t="s">
        <v>32</v>
      </c>
      <c r="H72" s="25">
        <f>ROUND(E72*0.05,1)</f>
        <v>82.2</v>
      </c>
      <c r="J72" s="86"/>
      <c r="K72" s="85"/>
      <c r="L72" s="89"/>
      <c r="M72" s="86"/>
      <c r="N72" s="85"/>
      <c r="O72" s="89"/>
    </row>
    <row r="73" ht="30" customHeight="1" spans="1:15">
      <c r="A73" s="82" t="s">
        <v>80</v>
      </c>
      <c r="B73" s="83"/>
      <c r="C73" s="84"/>
      <c r="D73" s="15">
        <f t="shared" ref="D73:H73" si="17">SUM(D74:D84)</f>
        <v>2</v>
      </c>
      <c r="E73" s="16">
        <f t="shared" si="17"/>
        <v>518.4</v>
      </c>
      <c r="F73" s="84"/>
      <c r="G73" s="84"/>
      <c r="H73" s="16">
        <f t="shared" si="17"/>
        <v>25.9</v>
      </c>
      <c r="J73" s="84"/>
      <c r="K73" s="84"/>
      <c r="L73" s="16">
        <f>SUM(L74:L84)</f>
        <v>0</v>
      </c>
      <c r="M73" s="84"/>
      <c r="N73" s="84"/>
      <c r="O73" s="16"/>
    </row>
    <row r="74" spans="1:15">
      <c r="A74" s="85">
        <v>1</v>
      </c>
      <c r="B74" s="86"/>
      <c r="C74" s="86"/>
      <c r="D74" s="88"/>
      <c r="E74" s="89"/>
      <c r="F74" s="24"/>
      <c r="G74" s="85"/>
      <c r="H74" s="85"/>
      <c r="J74" s="40"/>
      <c r="K74" s="85"/>
      <c r="L74" s="89"/>
      <c r="M74" s="40"/>
      <c r="N74" s="85"/>
      <c r="O74" s="89"/>
    </row>
    <row r="75" spans="1:15">
      <c r="A75" s="85">
        <v>2</v>
      </c>
      <c r="B75" s="86">
        <v>43166</v>
      </c>
      <c r="C75" s="21" t="s">
        <v>81</v>
      </c>
      <c r="D75" s="22">
        <v>2</v>
      </c>
      <c r="E75" s="23">
        <v>518.4</v>
      </c>
      <c r="F75" s="24" t="s">
        <v>24</v>
      </c>
      <c r="G75" s="19" t="s">
        <v>25</v>
      </c>
      <c r="H75" s="25">
        <v>25.9</v>
      </c>
      <c r="J75" s="86"/>
      <c r="K75" s="85"/>
      <c r="L75" s="89"/>
      <c r="M75" s="86"/>
      <c r="N75" s="85"/>
      <c r="O75" s="89"/>
    </row>
    <row r="76" spans="1:15">
      <c r="A76" s="85">
        <v>3</v>
      </c>
      <c r="B76" s="86"/>
      <c r="C76" s="86"/>
      <c r="D76" s="88"/>
      <c r="E76" s="89"/>
      <c r="F76" s="24"/>
      <c r="G76" s="85"/>
      <c r="H76" s="85"/>
      <c r="J76" s="86"/>
      <c r="K76" s="85"/>
      <c r="L76" s="89"/>
      <c r="M76" s="86"/>
      <c r="N76" s="85"/>
      <c r="O76" s="89"/>
    </row>
    <row r="77" spans="1:15">
      <c r="A77" s="85">
        <v>4</v>
      </c>
      <c r="B77" s="86"/>
      <c r="C77" s="86"/>
      <c r="D77" s="88"/>
      <c r="E77" s="89"/>
      <c r="F77" s="24"/>
      <c r="G77" s="85"/>
      <c r="H77" s="85"/>
      <c r="J77" s="86"/>
      <c r="K77" s="85"/>
      <c r="L77" s="89"/>
      <c r="M77" s="86"/>
      <c r="N77" s="85"/>
      <c r="O77" s="89"/>
    </row>
    <row r="78" spans="1:15">
      <c r="A78" s="85">
        <v>5</v>
      </c>
      <c r="B78" s="86"/>
      <c r="C78" s="86"/>
      <c r="D78" s="88"/>
      <c r="E78" s="89"/>
      <c r="F78" s="24"/>
      <c r="G78" s="85"/>
      <c r="H78" s="85"/>
      <c r="J78" s="86"/>
      <c r="K78" s="85"/>
      <c r="L78" s="89"/>
      <c r="M78" s="86"/>
      <c r="N78" s="85"/>
      <c r="O78" s="89"/>
    </row>
    <row r="79" spans="1:15">
      <c r="A79" s="85">
        <v>6</v>
      </c>
      <c r="B79" s="86"/>
      <c r="C79" s="86"/>
      <c r="D79" s="88"/>
      <c r="E79" s="89"/>
      <c r="F79" s="24"/>
      <c r="G79" s="85"/>
      <c r="H79" s="85"/>
      <c r="J79" s="86"/>
      <c r="K79" s="85"/>
      <c r="L79" s="89"/>
      <c r="M79" s="86"/>
      <c r="N79" s="85"/>
      <c r="O79" s="89"/>
    </row>
    <row r="80" spans="1:15">
      <c r="A80" s="85">
        <v>7</v>
      </c>
      <c r="B80" s="86"/>
      <c r="C80" s="86"/>
      <c r="D80" s="88"/>
      <c r="E80" s="89"/>
      <c r="F80" s="24"/>
      <c r="G80" s="85"/>
      <c r="H80" s="85"/>
      <c r="J80" s="86"/>
      <c r="K80" s="85"/>
      <c r="L80" s="89"/>
      <c r="M80" s="86"/>
      <c r="N80" s="85"/>
      <c r="O80" s="89"/>
    </row>
    <row r="81" spans="1:15">
      <c r="A81" s="85">
        <v>8</v>
      </c>
      <c r="B81" s="86"/>
      <c r="C81" s="86"/>
      <c r="D81" s="88"/>
      <c r="E81" s="89"/>
      <c r="F81" s="24"/>
      <c r="G81" s="85"/>
      <c r="H81" s="85"/>
      <c r="J81" s="86"/>
      <c r="K81" s="85"/>
      <c r="L81" s="89"/>
      <c r="M81" s="86"/>
      <c r="N81" s="85"/>
      <c r="O81" s="89"/>
    </row>
    <row r="82" spans="1:15">
      <c r="A82" s="85">
        <v>9</v>
      </c>
      <c r="B82" s="86"/>
      <c r="C82" s="86"/>
      <c r="D82" s="88"/>
      <c r="E82" s="89"/>
      <c r="F82" s="24"/>
      <c r="G82" s="85"/>
      <c r="H82" s="85"/>
      <c r="J82" s="86"/>
      <c r="K82" s="85"/>
      <c r="L82" s="89"/>
      <c r="M82" s="86"/>
      <c r="N82" s="85"/>
      <c r="O82" s="89"/>
    </row>
    <row r="83" spans="1:15">
      <c r="A83" s="85">
        <v>10</v>
      </c>
      <c r="B83" s="86"/>
      <c r="C83" s="86"/>
      <c r="D83" s="88"/>
      <c r="E83" s="89"/>
      <c r="F83" s="24"/>
      <c r="G83" s="85"/>
      <c r="H83" s="85"/>
      <c r="J83" s="86"/>
      <c r="K83" s="85"/>
      <c r="L83" s="89"/>
      <c r="M83" s="86"/>
      <c r="N83" s="85"/>
      <c r="O83" s="89"/>
    </row>
    <row r="84" spans="1:15">
      <c r="A84" s="85">
        <v>11</v>
      </c>
      <c r="B84" s="86"/>
      <c r="C84" s="86"/>
      <c r="D84" s="88"/>
      <c r="E84" s="89"/>
      <c r="F84" s="24"/>
      <c r="G84" s="85"/>
      <c r="H84" s="85"/>
      <c r="J84" s="86"/>
      <c r="K84" s="85"/>
      <c r="L84" s="89"/>
      <c r="M84" s="86"/>
      <c r="N84" s="85"/>
      <c r="O84" s="89"/>
    </row>
    <row r="85" ht="30" customHeight="1" spans="1:15">
      <c r="A85" s="82" t="s">
        <v>82</v>
      </c>
      <c r="B85" s="83"/>
      <c r="C85" s="84"/>
      <c r="D85" s="15">
        <f t="shared" ref="D85:H85" si="18">SUM(D86:D96)</f>
        <v>0</v>
      </c>
      <c r="E85" s="16">
        <f t="shared" si="18"/>
        <v>0</v>
      </c>
      <c r="F85" s="84"/>
      <c r="G85" s="84"/>
      <c r="H85" s="16">
        <f t="shared" si="18"/>
        <v>0</v>
      </c>
      <c r="J85" s="84"/>
      <c r="K85" s="84"/>
      <c r="L85" s="16">
        <f>SUM(L86:L96)</f>
        <v>0</v>
      </c>
      <c r="M85" s="84"/>
      <c r="N85" s="84"/>
      <c r="O85" s="16"/>
    </row>
    <row r="86" spans="1:15">
      <c r="A86" s="85">
        <v>1</v>
      </c>
      <c r="B86" s="86"/>
      <c r="C86" s="86"/>
      <c r="D86" s="88"/>
      <c r="E86" s="89"/>
      <c r="F86" s="24"/>
      <c r="G86" s="85"/>
      <c r="H86" s="85"/>
      <c r="J86" s="40"/>
      <c r="K86" s="85"/>
      <c r="L86" s="89"/>
      <c r="M86" s="40"/>
      <c r="N86" s="85"/>
      <c r="O86" s="89"/>
    </row>
    <row r="87" spans="1:15">
      <c r="A87" s="85">
        <v>2</v>
      </c>
      <c r="B87" s="86"/>
      <c r="C87" s="86"/>
      <c r="D87" s="88"/>
      <c r="E87" s="89"/>
      <c r="F87" s="85"/>
      <c r="G87" s="85"/>
      <c r="H87" s="85"/>
      <c r="J87" s="86"/>
      <c r="K87" s="85"/>
      <c r="L87" s="89"/>
      <c r="M87" s="86"/>
      <c r="N87" s="85"/>
      <c r="O87" s="89"/>
    </row>
    <row r="88" spans="1:15">
      <c r="A88" s="85">
        <v>3</v>
      </c>
      <c r="B88" s="86"/>
      <c r="C88" s="86"/>
      <c r="D88" s="88"/>
      <c r="E88" s="89"/>
      <c r="F88" s="24"/>
      <c r="G88" s="85"/>
      <c r="H88" s="85"/>
      <c r="J88" s="86"/>
      <c r="K88" s="85"/>
      <c r="L88" s="89"/>
      <c r="M88" s="86"/>
      <c r="N88" s="85"/>
      <c r="O88" s="89"/>
    </row>
    <row r="89" spans="1:15">
      <c r="A89" s="85">
        <v>4</v>
      </c>
      <c r="B89" s="86"/>
      <c r="C89" s="86"/>
      <c r="D89" s="88"/>
      <c r="E89" s="89"/>
      <c r="F89" s="24"/>
      <c r="G89" s="85"/>
      <c r="H89" s="85"/>
      <c r="J89" s="86"/>
      <c r="K89" s="85"/>
      <c r="L89" s="89"/>
      <c r="M89" s="86"/>
      <c r="N89" s="85"/>
      <c r="O89" s="89"/>
    </row>
    <row r="90" spans="1:15">
      <c r="A90" s="85">
        <v>5</v>
      </c>
      <c r="B90" s="86"/>
      <c r="C90" s="86"/>
      <c r="D90" s="88"/>
      <c r="E90" s="89"/>
      <c r="F90" s="24"/>
      <c r="G90" s="85"/>
      <c r="H90" s="85"/>
      <c r="J90" s="86"/>
      <c r="K90" s="85"/>
      <c r="L90" s="89"/>
      <c r="M90" s="86"/>
      <c r="N90" s="85"/>
      <c r="O90" s="89"/>
    </row>
    <row r="91" spans="1:15">
      <c r="A91" s="85">
        <v>6</v>
      </c>
      <c r="B91" s="86"/>
      <c r="C91" s="86"/>
      <c r="D91" s="88"/>
      <c r="E91" s="89"/>
      <c r="F91" s="24"/>
      <c r="G91" s="85"/>
      <c r="H91" s="85"/>
      <c r="J91" s="86"/>
      <c r="K91" s="85"/>
      <c r="L91" s="89"/>
      <c r="M91" s="86"/>
      <c r="N91" s="85"/>
      <c r="O91" s="89"/>
    </row>
    <row r="92" spans="1:15">
      <c r="A92" s="85">
        <v>7</v>
      </c>
      <c r="B92" s="86"/>
      <c r="C92" s="86"/>
      <c r="D92" s="88"/>
      <c r="E92" s="89"/>
      <c r="F92" s="24"/>
      <c r="G92" s="85"/>
      <c r="H92" s="85"/>
      <c r="J92" s="86"/>
      <c r="K92" s="85"/>
      <c r="L92" s="89"/>
      <c r="M92" s="86"/>
      <c r="N92" s="85"/>
      <c r="O92" s="89"/>
    </row>
    <row r="93" spans="1:15">
      <c r="A93" s="85">
        <v>8</v>
      </c>
      <c r="B93" s="86"/>
      <c r="C93" s="86"/>
      <c r="D93" s="88"/>
      <c r="E93" s="89"/>
      <c r="F93" s="24"/>
      <c r="G93" s="85"/>
      <c r="H93" s="85"/>
      <c r="J93" s="86"/>
      <c r="K93" s="85"/>
      <c r="L93" s="89"/>
      <c r="M93" s="86"/>
      <c r="N93" s="85"/>
      <c r="O93" s="89"/>
    </row>
    <row r="94" spans="1:15">
      <c r="A94" s="85">
        <v>9</v>
      </c>
      <c r="B94" s="86"/>
      <c r="C94" s="86"/>
      <c r="D94" s="88"/>
      <c r="E94" s="89"/>
      <c r="F94" s="24"/>
      <c r="G94" s="85"/>
      <c r="H94" s="85"/>
      <c r="J94" s="86"/>
      <c r="K94" s="85"/>
      <c r="L94" s="89"/>
      <c r="M94" s="86"/>
      <c r="N94" s="85"/>
      <c r="O94" s="89"/>
    </row>
    <row r="95" spans="1:15">
      <c r="A95" s="85">
        <v>10</v>
      </c>
      <c r="B95" s="86"/>
      <c r="C95" s="86"/>
      <c r="D95" s="88"/>
      <c r="E95" s="89"/>
      <c r="F95" s="24"/>
      <c r="G95" s="85"/>
      <c r="H95" s="85"/>
      <c r="J95" s="86"/>
      <c r="K95" s="85"/>
      <c r="L95" s="89"/>
      <c r="M95" s="86"/>
      <c r="N95" s="85"/>
      <c r="O95" s="89"/>
    </row>
    <row r="96" spans="1:15">
      <c r="A96" s="85">
        <v>11</v>
      </c>
      <c r="B96" s="86"/>
      <c r="C96" s="86"/>
      <c r="D96" s="88"/>
      <c r="E96" s="89"/>
      <c r="F96" s="24"/>
      <c r="G96" s="85"/>
      <c r="H96" s="85"/>
      <c r="J96" s="86"/>
      <c r="K96" s="85"/>
      <c r="L96" s="89"/>
      <c r="M96" s="86"/>
      <c r="N96" s="85"/>
      <c r="O96" s="89"/>
    </row>
    <row r="97" ht="30" customHeight="1" spans="1:15">
      <c r="A97" s="82" t="s">
        <v>83</v>
      </c>
      <c r="B97" s="83"/>
      <c r="C97" s="84"/>
      <c r="D97" s="15">
        <f t="shared" ref="D97:H97" si="19">SUM(D98:D108)</f>
        <v>0</v>
      </c>
      <c r="E97" s="16">
        <f t="shared" si="19"/>
        <v>0</v>
      </c>
      <c r="F97" s="84"/>
      <c r="G97" s="84"/>
      <c r="H97" s="16">
        <f t="shared" si="19"/>
        <v>0</v>
      </c>
      <c r="J97" s="84"/>
      <c r="K97" s="84"/>
      <c r="L97" s="16">
        <f>SUM(L98:L108)</f>
        <v>0</v>
      </c>
      <c r="M97" s="84"/>
      <c r="N97" s="84"/>
      <c r="O97" s="16"/>
    </row>
    <row r="98" spans="1:15">
      <c r="A98" s="85">
        <v>1</v>
      </c>
      <c r="B98" s="86"/>
      <c r="C98" s="86"/>
      <c r="D98" s="88"/>
      <c r="E98" s="89"/>
      <c r="F98" s="24"/>
      <c r="G98" s="85"/>
      <c r="H98" s="85"/>
      <c r="J98" s="40"/>
      <c r="K98" s="85"/>
      <c r="L98" s="89"/>
      <c r="M98" s="40"/>
      <c r="N98" s="85"/>
      <c r="O98" s="89"/>
    </row>
    <row r="99" spans="1:15">
      <c r="A99" s="85">
        <v>2</v>
      </c>
      <c r="B99" s="86"/>
      <c r="C99" s="86"/>
      <c r="D99" s="88"/>
      <c r="E99" s="89"/>
      <c r="F99" s="85"/>
      <c r="G99" s="85"/>
      <c r="H99" s="85"/>
      <c r="J99" s="86"/>
      <c r="K99" s="85"/>
      <c r="L99" s="89"/>
      <c r="M99" s="86"/>
      <c r="N99" s="85"/>
      <c r="O99" s="89"/>
    </row>
    <row r="100" spans="1:15">
      <c r="A100" s="85">
        <v>3</v>
      </c>
      <c r="B100" s="86"/>
      <c r="C100" s="86"/>
      <c r="D100" s="88"/>
      <c r="E100" s="89"/>
      <c r="F100" s="24"/>
      <c r="G100" s="85"/>
      <c r="H100" s="85"/>
      <c r="J100" s="86"/>
      <c r="K100" s="85"/>
      <c r="L100" s="89"/>
      <c r="M100" s="86"/>
      <c r="N100" s="85"/>
      <c r="O100" s="89"/>
    </row>
    <row r="101" spans="1:15">
      <c r="A101" s="85">
        <v>4</v>
      </c>
      <c r="B101" s="86"/>
      <c r="C101" s="86"/>
      <c r="D101" s="88"/>
      <c r="E101" s="89"/>
      <c r="F101" s="24"/>
      <c r="G101" s="85"/>
      <c r="H101" s="85"/>
      <c r="J101" s="86"/>
      <c r="K101" s="85"/>
      <c r="L101" s="89"/>
      <c r="M101" s="86"/>
      <c r="N101" s="85"/>
      <c r="O101" s="89"/>
    </row>
    <row r="102" spans="1:15">
      <c r="A102" s="85">
        <v>5</v>
      </c>
      <c r="B102" s="86"/>
      <c r="C102" s="86"/>
      <c r="D102" s="88"/>
      <c r="E102" s="89"/>
      <c r="F102" s="24"/>
      <c r="G102" s="85"/>
      <c r="H102" s="85"/>
      <c r="J102" s="86"/>
      <c r="K102" s="85"/>
      <c r="L102" s="89"/>
      <c r="M102" s="86"/>
      <c r="N102" s="85"/>
      <c r="O102" s="89"/>
    </row>
    <row r="103" spans="1:15">
      <c r="A103" s="85">
        <v>6</v>
      </c>
      <c r="B103" s="86"/>
      <c r="C103" s="86"/>
      <c r="D103" s="88"/>
      <c r="E103" s="89"/>
      <c r="F103" s="24"/>
      <c r="G103" s="85"/>
      <c r="H103" s="85"/>
      <c r="J103" s="86"/>
      <c r="K103" s="85"/>
      <c r="L103" s="89"/>
      <c r="M103" s="86"/>
      <c r="N103" s="85"/>
      <c r="O103" s="89"/>
    </row>
    <row r="104" spans="1:15">
      <c r="A104" s="85">
        <v>7</v>
      </c>
      <c r="B104" s="86"/>
      <c r="C104" s="86"/>
      <c r="D104" s="88"/>
      <c r="E104" s="89"/>
      <c r="F104" s="24"/>
      <c r="G104" s="85"/>
      <c r="H104" s="85"/>
      <c r="J104" s="86"/>
      <c r="K104" s="85"/>
      <c r="L104" s="89"/>
      <c r="M104" s="86"/>
      <c r="N104" s="85"/>
      <c r="O104" s="89"/>
    </row>
    <row r="105" spans="1:15">
      <c r="A105" s="85">
        <v>8</v>
      </c>
      <c r="B105" s="86"/>
      <c r="C105" s="86"/>
      <c r="D105" s="88"/>
      <c r="E105" s="89"/>
      <c r="F105" s="24"/>
      <c r="G105" s="85"/>
      <c r="H105" s="85"/>
      <c r="J105" s="86"/>
      <c r="K105" s="85"/>
      <c r="L105" s="89"/>
      <c r="M105" s="86"/>
      <c r="N105" s="85"/>
      <c r="O105" s="89"/>
    </row>
    <row r="106" spans="1:15">
      <c r="A106" s="85">
        <v>9</v>
      </c>
      <c r="B106" s="86"/>
      <c r="C106" s="86"/>
      <c r="D106" s="88"/>
      <c r="E106" s="89"/>
      <c r="F106" s="24"/>
      <c r="G106" s="85"/>
      <c r="H106" s="85"/>
      <c r="J106" s="86"/>
      <c r="K106" s="85"/>
      <c r="L106" s="89"/>
      <c r="M106" s="86"/>
      <c r="N106" s="85"/>
      <c r="O106" s="89"/>
    </row>
    <row r="107" spans="1:15">
      <c r="A107" s="85">
        <v>10</v>
      </c>
      <c r="B107" s="86"/>
      <c r="C107" s="86"/>
      <c r="D107" s="88"/>
      <c r="E107" s="89"/>
      <c r="F107" s="24"/>
      <c r="G107" s="85"/>
      <c r="H107" s="85"/>
      <c r="J107" s="86"/>
      <c r="K107" s="85"/>
      <c r="L107" s="89"/>
      <c r="M107" s="86"/>
      <c r="N107" s="85"/>
      <c r="O107" s="89"/>
    </row>
    <row r="108" spans="1:15">
      <c r="A108" s="85">
        <v>11</v>
      </c>
      <c r="B108" s="86"/>
      <c r="C108" s="86"/>
      <c r="D108" s="88"/>
      <c r="E108" s="89"/>
      <c r="F108" s="24"/>
      <c r="G108" s="85"/>
      <c r="H108" s="85"/>
      <c r="J108" s="86"/>
      <c r="K108" s="85"/>
      <c r="L108" s="89"/>
      <c r="M108" s="86"/>
      <c r="N108" s="85"/>
      <c r="O108" s="89"/>
    </row>
    <row r="109" ht="30" customHeight="1" spans="1:15">
      <c r="A109" s="82" t="s">
        <v>84</v>
      </c>
      <c r="B109" s="83"/>
      <c r="C109" s="84"/>
      <c r="D109" s="15">
        <f t="shared" ref="D109:H109" si="20">SUM(D110:D120)</f>
        <v>0</v>
      </c>
      <c r="E109" s="16">
        <f t="shared" si="20"/>
        <v>0</v>
      </c>
      <c r="F109" s="84"/>
      <c r="G109" s="84"/>
      <c r="H109" s="16">
        <f t="shared" si="20"/>
        <v>0</v>
      </c>
      <c r="J109" s="84"/>
      <c r="K109" s="84"/>
      <c r="L109" s="16">
        <f>SUM(L110:L120)</f>
        <v>0</v>
      </c>
      <c r="M109" s="84"/>
      <c r="N109" s="84"/>
      <c r="O109" s="16"/>
    </row>
    <row r="110" spans="1:15">
      <c r="A110" s="85">
        <v>1</v>
      </c>
      <c r="B110" s="86"/>
      <c r="C110" s="86"/>
      <c r="D110" s="88"/>
      <c r="E110" s="89"/>
      <c r="F110" s="24"/>
      <c r="G110" s="85"/>
      <c r="H110" s="85"/>
      <c r="J110" s="40"/>
      <c r="K110" s="85"/>
      <c r="L110" s="89"/>
      <c r="M110" s="40"/>
      <c r="N110" s="85"/>
      <c r="O110" s="89"/>
    </row>
    <row r="111" spans="1:15">
      <c r="A111" s="85">
        <v>2</v>
      </c>
      <c r="B111" s="86"/>
      <c r="C111" s="86"/>
      <c r="D111" s="88"/>
      <c r="E111" s="89"/>
      <c r="F111" s="85"/>
      <c r="G111" s="85"/>
      <c r="H111" s="85"/>
      <c r="J111" s="86"/>
      <c r="K111" s="85"/>
      <c r="L111" s="89"/>
      <c r="M111" s="86"/>
      <c r="N111" s="85"/>
      <c r="O111" s="89"/>
    </row>
    <row r="112" spans="1:15">
      <c r="A112" s="85">
        <v>3</v>
      </c>
      <c r="B112" s="86"/>
      <c r="C112" s="86"/>
      <c r="D112" s="88"/>
      <c r="E112" s="89"/>
      <c r="F112" s="24"/>
      <c r="G112" s="85"/>
      <c r="H112" s="85"/>
      <c r="J112" s="86"/>
      <c r="K112" s="85"/>
      <c r="L112" s="89"/>
      <c r="M112" s="86"/>
      <c r="N112" s="85"/>
      <c r="O112" s="89"/>
    </row>
    <row r="113" spans="1:15">
      <c r="A113" s="85">
        <v>4</v>
      </c>
      <c r="B113" s="86"/>
      <c r="C113" s="86"/>
      <c r="D113" s="88"/>
      <c r="E113" s="89"/>
      <c r="F113" s="24"/>
      <c r="G113" s="85"/>
      <c r="H113" s="85"/>
      <c r="J113" s="86"/>
      <c r="K113" s="85"/>
      <c r="L113" s="89"/>
      <c r="M113" s="86"/>
      <c r="N113" s="85"/>
      <c r="O113" s="89"/>
    </row>
    <row r="114" spans="1:15">
      <c r="A114" s="85">
        <v>5</v>
      </c>
      <c r="B114" s="86"/>
      <c r="C114" s="86"/>
      <c r="D114" s="88"/>
      <c r="E114" s="89"/>
      <c r="F114" s="24"/>
      <c r="G114" s="85"/>
      <c r="H114" s="85"/>
      <c r="J114" s="86"/>
      <c r="K114" s="85"/>
      <c r="L114" s="89"/>
      <c r="M114" s="86"/>
      <c r="N114" s="85"/>
      <c r="O114" s="89"/>
    </row>
    <row r="115" spans="1:15">
      <c r="A115" s="85">
        <v>6</v>
      </c>
      <c r="B115" s="86"/>
      <c r="C115" s="86"/>
      <c r="D115" s="88"/>
      <c r="E115" s="89"/>
      <c r="F115" s="24"/>
      <c r="G115" s="85"/>
      <c r="H115" s="85"/>
      <c r="J115" s="86"/>
      <c r="K115" s="85"/>
      <c r="L115" s="89"/>
      <c r="M115" s="86"/>
      <c r="N115" s="85"/>
      <c r="O115" s="89"/>
    </row>
    <row r="116" spans="1:15">
      <c r="A116" s="85">
        <v>7</v>
      </c>
      <c r="B116" s="86"/>
      <c r="C116" s="86"/>
      <c r="D116" s="88"/>
      <c r="E116" s="89"/>
      <c r="F116" s="24"/>
      <c r="G116" s="85"/>
      <c r="H116" s="85"/>
      <c r="J116" s="86"/>
      <c r="K116" s="85"/>
      <c r="L116" s="89"/>
      <c r="M116" s="86"/>
      <c r="N116" s="85"/>
      <c r="O116" s="89"/>
    </row>
    <row r="117" spans="1:15">
      <c r="A117" s="85">
        <v>8</v>
      </c>
      <c r="B117" s="86"/>
      <c r="C117" s="86"/>
      <c r="D117" s="88"/>
      <c r="E117" s="89"/>
      <c r="F117" s="24"/>
      <c r="G117" s="85"/>
      <c r="H117" s="85"/>
      <c r="J117" s="86"/>
      <c r="K117" s="85"/>
      <c r="L117" s="89"/>
      <c r="M117" s="86"/>
      <c r="N117" s="85"/>
      <c r="O117" s="89"/>
    </row>
    <row r="118" spans="1:15">
      <c r="A118" s="85">
        <v>9</v>
      </c>
      <c r="B118" s="86"/>
      <c r="C118" s="86"/>
      <c r="D118" s="88"/>
      <c r="E118" s="89"/>
      <c r="F118" s="24"/>
      <c r="G118" s="85"/>
      <c r="H118" s="85"/>
      <c r="J118" s="86"/>
      <c r="K118" s="85"/>
      <c r="L118" s="89"/>
      <c r="M118" s="86"/>
      <c r="N118" s="85"/>
      <c r="O118" s="89"/>
    </row>
    <row r="119" spans="1:15">
      <c r="A119" s="85">
        <v>10</v>
      </c>
      <c r="B119" s="86"/>
      <c r="C119" s="86"/>
      <c r="D119" s="88"/>
      <c r="E119" s="89"/>
      <c r="F119" s="24"/>
      <c r="G119" s="85"/>
      <c r="H119" s="85"/>
      <c r="J119" s="86"/>
      <c r="K119" s="85"/>
      <c r="L119" s="89"/>
      <c r="M119" s="86"/>
      <c r="N119" s="85"/>
      <c r="O119" s="89"/>
    </row>
    <row r="120" spans="1:15">
      <c r="A120" s="85">
        <v>11</v>
      </c>
      <c r="B120" s="86"/>
      <c r="C120" s="86"/>
      <c r="D120" s="88"/>
      <c r="E120" s="89"/>
      <c r="F120" s="24"/>
      <c r="G120" s="85"/>
      <c r="H120" s="85"/>
      <c r="J120" s="86"/>
      <c r="K120" s="85"/>
      <c r="L120" s="89"/>
      <c r="M120" s="86"/>
      <c r="N120" s="85"/>
      <c r="O120" s="89"/>
    </row>
    <row r="121" ht="30" customHeight="1" spans="1:15">
      <c r="A121" s="82" t="s">
        <v>85</v>
      </c>
      <c r="B121" s="83"/>
      <c r="C121" s="84"/>
      <c r="D121" s="15">
        <f t="shared" ref="D121:H121" si="21">SUM(D122:D132)</f>
        <v>0</v>
      </c>
      <c r="E121" s="16">
        <f t="shared" si="21"/>
        <v>0</v>
      </c>
      <c r="F121" s="84"/>
      <c r="G121" s="84"/>
      <c r="H121" s="16">
        <f t="shared" si="21"/>
        <v>0</v>
      </c>
      <c r="J121" s="84"/>
      <c r="K121" s="84"/>
      <c r="L121" s="16">
        <f>SUM(L122:L132)</f>
        <v>0</v>
      </c>
      <c r="M121" s="84"/>
      <c r="N121" s="84"/>
      <c r="O121" s="16"/>
    </row>
    <row r="122" spans="1:15">
      <c r="A122" s="85">
        <v>1</v>
      </c>
      <c r="B122" s="86"/>
      <c r="C122" s="86"/>
      <c r="D122" s="88"/>
      <c r="E122" s="89"/>
      <c r="F122" s="24"/>
      <c r="G122" s="85"/>
      <c r="H122" s="85"/>
      <c r="J122" s="40"/>
      <c r="K122" s="85"/>
      <c r="L122" s="89"/>
      <c r="M122" s="40"/>
      <c r="N122" s="85"/>
      <c r="O122" s="89"/>
    </row>
    <row r="123" spans="1:15">
      <c r="A123" s="85">
        <v>2</v>
      </c>
      <c r="B123" s="86"/>
      <c r="C123" s="86"/>
      <c r="D123" s="88"/>
      <c r="E123" s="89"/>
      <c r="F123" s="85"/>
      <c r="G123" s="85"/>
      <c r="H123" s="85"/>
      <c r="J123" s="86"/>
      <c r="K123" s="85"/>
      <c r="L123" s="89"/>
      <c r="M123" s="86"/>
      <c r="N123" s="85"/>
      <c r="O123" s="89"/>
    </row>
    <row r="124" spans="1:15">
      <c r="A124" s="85">
        <v>3</v>
      </c>
      <c r="B124" s="86"/>
      <c r="C124" s="86"/>
      <c r="D124" s="88"/>
      <c r="E124" s="89"/>
      <c r="F124" s="24"/>
      <c r="G124" s="85"/>
      <c r="H124" s="85"/>
      <c r="J124" s="86"/>
      <c r="K124" s="85"/>
      <c r="L124" s="89"/>
      <c r="M124" s="86"/>
      <c r="N124" s="85"/>
      <c r="O124" s="89"/>
    </row>
    <row r="125" spans="1:15">
      <c r="A125" s="85">
        <v>4</v>
      </c>
      <c r="B125" s="86"/>
      <c r="C125" s="86"/>
      <c r="D125" s="88"/>
      <c r="E125" s="89"/>
      <c r="F125" s="24"/>
      <c r="G125" s="85"/>
      <c r="H125" s="85"/>
      <c r="J125" s="86"/>
      <c r="K125" s="85"/>
      <c r="L125" s="89"/>
      <c r="M125" s="86"/>
      <c r="N125" s="85"/>
      <c r="O125" s="89"/>
    </row>
    <row r="126" spans="1:15">
      <c r="A126" s="85">
        <v>5</v>
      </c>
      <c r="B126" s="86"/>
      <c r="C126" s="86"/>
      <c r="D126" s="88"/>
      <c r="E126" s="89"/>
      <c r="F126" s="24"/>
      <c r="G126" s="85"/>
      <c r="H126" s="85"/>
      <c r="J126" s="86"/>
      <c r="K126" s="85"/>
      <c r="L126" s="89"/>
      <c r="M126" s="86"/>
      <c r="N126" s="85"/>
      <c r="O126" s="89"/>
    </row>
    <row r="127" spans="1:15">
      <c r="A127" s="85">
        <v>6</v>
      </c>
      <c r="B127" s="86"/>
      <c r="C127" s="86"/>
      <c r="D127" s="88"/>
      <c r="E127" s="89"/>
      <c r="F127" s="24"/>
      <c r="G127" s="85"/>
      <c r="H127" s="85"/>
      <c r="J127" s="86"/>
      <c r="K127" s="85"/>
      <c r="L127" s="89"/>
      <c r="M127" s="86"/>
      <c r="N127" s="85"/>
      <c r="O127" s="89"/>
    </row>
    <row r="128" spans="1:15">
      <c r="A128" s="85">
        <v>7</v>
      </c>
      <c r="B128" s="86"/>
      <c r="C128" s="86"/>
      <c r="D128" s="88"/>
      <c r="E128" s="89"/>
      <c r="F128" s="24"/>
      <c r="G128" s="85"/>
      <c r="H128" s="85"/>
      <c r="J128" s="86"/>
      <c r="K128" s="85"/>
      <c r="L128" s="89"/>
      <c r="M128" s="86"/>
      <c r="N128" s="85"/>
      <c r="O128" s="89"/>
    </row>
    <row r="129" spans="1:15">
      <c r="A129" s="85">
        <v>8</v>
      </c>
      <c r="B129" s="86"/>
      <c r="C129" s="86"/>
      <c r="D129" s="88"/>
      <c r="E129" s="89"/>
      <c r="F129" s="24"/>
      <c r="G129" s="85"/>
      <c r="H129" s="85"/>
      <c r="J129" s="86"/>
      <c r="K129" s="85"/>
      <c r="L129" s="89"/>
      <c r="M129" s="86"/>
      <c r="N129" s="85"/>
      <c r="O129" s="89"/>
    </row>
    <row r="130" spans="1:15">
      <c r="A130" s="85">
        <v>9</v>
      </c>
      <c r="B130" s="86"/>
      <c r="C130" s="86"/>
      <c r="D130" s="88"/>
      <c r="E130" s="89"/>
      <c r="F130" s="24"/>
      <c r="G130" s="85"/>
      <c r="H130" s="85"/>
      <c r="J130" s="86"/>
      <c r="K130" s="85"/>
      <c r="L130" s="89"/>
      <c r="M130" s="86"/>
      <c r="N130" s="85"/>
      <c r="O130" s="89"/>
    </row>
    <row r="131" spans="1:15">
      <c r="A131" s="85">
        <v>10</v>
      </c>
      <c r="B131" s="86"/>
      <c r="C131" s="86"/>
      <c r="D131" s="88"/>
      <c r="E131" s="89"/>
      <c r="F131" s="24"/>
      <c r="G131" s="85"/>
      <c r="H131" s="85"/>
      <c r="J131" s="86"/>
      <c r="K131" s="85"/>
      <c r="L131" s="89"/>
      <c r="M131" s="86"/>
      <c r="N131" s="85"/>
      <c r="O131" s="89"/>
    </row>
    <row r="132" spans="1:15">
      <c r="A132" s="85">
        <v>11</v>
      </c>
      <c r="B132" s="86"/>
      <c r="C132" s="86"/>
      <c r="D132" s="88"/>
      <c r="E132" s="89"/>
      <c r="F132" s="24"/>
      <c r="G132" s="85"/>
      <c r="H132" s="85"/>
      <c r="J132" s="86"/>
      <c r="K132" s="85"/>
      <c r="L132" s="89"/>
      <c r="M132" s="86"/>
      <c r="N132" s="85"/>
      <c r="O132" s="89"/>
    </row>
    <row r="133" ht="30" customHeight="1" spans="1:15">
      <c r="A133" s="82" t="s">
        <v>86</v>
      </c>
      <c r="B133" s="83"/>
      <c r="C133" s="84"/>
      <c r="D133" s="15">
        <f t="shared" ref="D133:H133" si="22">SUM(D134:D144)</f>
        <v>0</v>
      </c>
      <c r="E133" s="16">
        <f t="shared" si="22"/>
        <v>0</v>
      </c>
      <c r="F133" s="84"/>
      <c r="G133" s="84"/>
      <c r="H133" s="16">
        <f t="shared" si="22"/>
        <v>0</v>
      </c>
      <c r="J133" s="84"/>
      <c r="K133" s="84"/>
      <c r="L133" s="16">
        <f>SUM(L134:L144)</f>
        <v>0</v>
      </c>
      <c r="M133" s="84"/>
      <c r="N133" s="84"/>
      <c r="O133" s="16"/>
    </row>
    <row r="134" spans="1:15">
      <c r="A134" s="85">
        <v>1</v>
      </c>
      <c r="B134" s="86"/>
      <c r="C134" s="86"/>
      <c r="D134" s="88"/>
      <c r="E134" s="89"/>
      <c r="F134" s="24"/>
      <c r="G134" s="85"/>
      <c r="H134" s="85"/>
      <c r="J134" s="40"/>
      <c r="K134" s="85"/>
      <c r="L134" s="89"/>
      <c r="M134" s="40"/>
      <c r="N134" s="85"/>
      <c r="O134" s="89"/>
    </row>
    <row r="135" spans="1:15">
      <c r="A135" s="85">
        <v>2</v>
      </c>
      <c r="B135" s="86"/>
      <c r="C135" s="86"/>
      <c r="D135" s="88"/>
      <c r="E135" s="89"/>
      <c r="F135" s="85"/>
      <c r="G135" s="85"/>
      <c r="H135" s="85"/>
      <c r="J135" s="86"/>
      <c r="K135" s="85"/>
      <c r="L135" s="89"/>
      <c r="M135" s="86"/>
      <c r="N135" s="85"/>
      <c r="O135" s="89"/>
    </row>
    <row r="136" spans="1:15">
      <c r="A136" s="85">
        <v>3</v>
      </c>
      <c r="B136" s="86"/>
      <c r="C136" s="86"/>
      <c r="D136" s="88"/>
      <c r="E136" s="89"/>
      <c r="F136" s="24"/>
      <c r="G136" s="85"/>
      <c r="H136" s="85"/>
      <c r="J136" s="86"/>
      <c r="K136" s="85"/>
      <c r="L136" s="89"/>
      <c r="M136" s="86"/>
      <c r="N136" s="85"/>
      <c r="O136" s="89"/>
    </row>
    <row r="137" spans="1:15">
      <c r="A137" s="85">
        <v>4</v>
      </c>
      <c r="B137" s="86"/>
      <c r="C137" s="86"/>
      <c r="D137" s="88"/>
      <c r="E137" s="89"/>
      <c r="F137" s="24"/>
      <c r="G137" s="85"/>
      <c r="H137" s="85"/>
      <c r="J137" s="86"/>
      <c r="K137" s="85"/>
      <c r="L137" s="89"/>
      <c r="M137" s="86"/>
      <c r="N137" s="85"/>
      <c r="O137" s="89"/>
    </row>
    <row r="138" spans="1:15">
      <c r="A138" s="85">
        <v>5</v>
      </c>
      <c r="B138" s="86"/>
      <c r="C138" s="86"/>
      <c r="D138" s="88"/>
      <c r="E138" s="89"/>
      <c r="F138" s="24"/>
      <c r="G138" s="85"/>
      <c r="H138" s="85"/>
      <c r="J138" s="86"/>
      <c r="K138" s="85"/>
      <c r="L138" s="89"/>
      <c r="M138" s="86"/>
      <c r="N138" s="85"/>
      <c r="O138" s="89"/>
    </row>
    <row r="139" spans="1:15">
      <c r="A139" s="85">
        <v>6</v>
      </c>
      <c r="B139" s="86"/>
      <c r="C139" s="86"/>
      <c r="D139" s="88"/>
      <c r="E139" s="89"/>
      <c r="F139" s="24"/>
      <c r="G139" s="85"/>
      <c r="H139" s="85"/>
      <c r="J139" s="86"/>
      <c r="K139" s="85"/>
      <c r="L139" s="89"/>
      <c r="M139" s="86"/>
      <c r="N139" s="85"/>
      <c r="O139" s="89"/>
    </row>
    <row r="140" spans="1:15">
      <c r="A140" s="85">
        <v>7</v>
      </c>
      <c r="B140" s="86"/>
      <c r="C140" s="86"/>
      <c r="D140" s="88"/>
      <c r="E140" s="89"/>
      <c r="F140" s="24"/>
      <c r="G140" s="85"/>
      <c r="H140" s="85"/>
      <c r="J140" s="86"/>
      <c r="K140" s="85"/>
      <c r="L140" s="89"/>
      <c r="M140" s="86"/>
      <c r="N140" s="85"/>
      <c r="O140" s="89"/>
    </row>
    <row r="141" spans="1:15">
      <c r="A141" s="85">
        <v>8</v>
      </c>
      <c r="B141" s="86"/>
      <c r="C141" s="86"/>
      <c r="D141" s="88"/>
      <c r="E141" s="89"/>
      <c r="F141" s="24"/>
      <c r="G141" s="85"/>
      <c r="H141" s="85"/>
      <c r="J141" s="86"/>
      <c r="K141" s="85"/>
      <c r="L141" s="89"/>
      <c r="M141" s="86"/>
      <c r="N141" s="85"/>
      <c r="O141" s="89"/>
    </row>
    <row r="142" spans="1:15">
      <c r="A142" s="85">
        <v>9</v>
      </c>
      <c r="B142" s="86"/>
      <c r="C142" s="86"/>
      <c r="D142" s="88"/>
      <c r="E142" s="89"/>
      <c r="F142" s="24"/>
      <c r="G142" s="85"/>
      <c r="H142" s="85"/>
      <c r="J142" s="86"/>
      <c r="K142" s="85"/>
      <c r="L142" s="89"/>
      <c r="M142" s="86"/>
      <c r="N142" s="85"/>
      <c r="O142" s="89"/>
    </row>
    <row r="143" spans="1:15">
      <c r="A143" s="85">
        <v>10</v>
      </c>
      <c r="B143" s="86"/>
      <c r="C143" s="86"/>
      <c r="D143" s="88"/>
      <c r="E143" s="89"/>
      <c r="F143" s="24"/>
      <c r="G143" s="85"/>
      <c r="H143" s="85"/>
      <c r="J143" s="86"/>
      <c r="K143" s="85"/>
      <c r="L143" s="89"/>
      <c r="M143" s="86"/>
      <c r="N143" s="85"/>
      <c r="O143" s="89"/>
    </row>
    <row r="144" spans="1:15">
      <c r="A144" s="85">
        <v>11</v>
      </c>
      <c r="B144" s="86"/>
      <c r="C144" s="86"/>
      <c r="D144" s="88"/>
      <c r="E144" s="89"/>
      <c r="F144" s="24"/>
      <c r="G144" s="85"/>
      <c r="H144" s="85"/>
      <c r="J144" s="86"/>
      <c r="K144" s="85"/>
      <c r="L144" s="89"/>
      <c r="M144" s="86"/>
      <c r="N144" s="85"/>
      <c r="O144" s="89"/>
    </row>
    <row r="145" ht="30" customHeight="1" spans="1:15">
      <c r="A145" s="82" t="s">
        <v>87</v>
      </c>
      <c r="B145" s="83"/>
      <c r="C145" s="84"/>
      <c r="D145" s="15">
        <f t="shared" ref="D145:H145" si="23">SUM(D146:D156)</f>
        <v>0</v>
      </c>
      <c r="E145" s="16">
        <f t="shared" si="23"/>
        <v>0</v>
      </c>
      <c r="F145" s="84"/>
      <c r="G145" s="84"/>
      <c r="H145" s="16">
        <f t="shared" si="23"/>
        <v>0</v>
      </c>
      <c r="J145" s="84"/>
      <c r="K145" s="84"/>
      <c r="L145" s="16">
        <f>SUM(L146:L156)</f>
        <v>0</v>
      </c>
      <c r="M145" s="84"/>
      <c r="N145" s="84"/>
      <c r="O145" s="16"/>
    </row>
    <row r="146" spans="1:15">
      <c r="A146" s="85">
        <v>1</v>
      </c>
      <c r="B146" s="86"/>
      <c r="C146" s="86"/>
      <c r="D146" s="88"/>
      <c r="E146" s="89"/>
      <c r="F146" s="24"/>
      <c r="G146" s="85"/>
      <c r="H146" s="85"/>
      <c r="J146" s="40"/>
      <c r="K146" s="85"/>
      <c r="L146" s="89"/>
      <c r="M146" s="40"/>
      <c r="N146" s="85"/>
      <c r="O146" s="89"/>
    </row>
    <row r="147" spans="1:15">
      <c r="A147" s="85">
        <v>2</v>
      </c>
      <c r="B147" s="86"/>
      <c r="C147" s="86"/>
      <c r="D147" s="88"/>
      <c r="E147" s="89"/>
      <c r="F147" s="85"/>
      <c r="G147" s="85"/>
      <c r="H147" s="85"/>
      <c r="J147" s="86"/>
      <c r="K147" s="85"/>
      <c r="L147" s="89"/>
      <c r="M147" s="86"/>
      <c r="N147" s="85"/>
      <c r="O147" s="89"/>
    </row>
    <row r="148" spans="1:15">
      <c r="A148" s="85">
        <v>3</v>
      </c>
      <c r="B148" s="86"/>
      <c r="C148" s="86"/>
      <c r="D148" s="88"/>
      <c r="E148" s="89"/>
      <c r="F148" s="24"/>
      <c r="G148" s="85"/>
      <c r="H148" s="85"/>
      <c r="J148" s="86"/>
      <c r="K148" s="85"/>
      <c r="L148" s="89"/>
      <c r="M148" s="86"/>
      <c r="N148" s="85"/>
      <c r="O148" s="89"/>
    </row>
    <row r="149" spans="1:15">
      <c r="A149" s="85">
        <v>4</v>
      </c>
      <c r="B149" s="86"/>
      <c r="C149" s="86"/>
      <c r="D149" s="88"/>
      <c r="E149" s="89"/>
      <c r="F149" s="24"/>
      <c r="G149" s="85"/>
      <c r="H149" s="85"/>
      <c r="J149" s="86"/>
      <c r="K149" s="85"/>
      <c r="L149" s="89"/>
      <c r="M149" s="86"/>
      <c r="N149" s="85"/>
      <c r="O149" s="89"/>
    </row>
    <row r="150" spans="1:15">
      <c r="A150" s="85">
        <v>5</v>
      </c>
      <c r="B150" s="86"/>
      <c r="C150" s="86"/>
      <c r="D150" s="88"/>
      <c r="E150" s="89"/>
      <c r="F150" s="24"/>
      <c r="G150" s="85"/>
      <c r="H150" s="85"/>
      <c r="J150" s="86"/>
      <c r="K150" s="85"/>
      <c r="L150" s="89"/>
      <c r="M150" s="86"/>
      <c r="N150" s="85"/>
      <c r="O150" s="89"/>
    </row>
    <row r="151" spans="1:15">
      <c r="A151" s="85">
        <v>6</v>
      </c>
      <c r="B151" s="86"/>
      <c r="C151" s="86"/>
      <c r="D151" s="88"/>
      <c r="E151" s="89"/>
      <c r="F151" s="24"/>
      <c r="G151" s="85"/>
      <c r="H151" s="85"/>
      <c r="J151" s="86"/>
      <c r="K151" s="85"/>
      <c r="L151" s="89"/>
      <c r="M151" s="86"/>
      <c r="N151" s="85"/>
      <c r="O151" s="89"/>
    </row>
    <row r="152" spans="1:15">
      <c r="A152" s="85">
        <v>7</v>
      </c>
      <c r="B152" s="86"/>
      <c r="C152" s="86"/>
      <c r="D152" s="88"/>
      <c r="E152" s="89"/>
      <c r="F152" s="24"/>
      <c r="G152" s="85"/>
      <c r="H152" s="85"/>
      <c r="J152" s="86"/>
      <c r="K152" s="85"/>
      <c r="L152" s="89"/>
      <c r="M152" s="86"/>
      <c r="N152" s="85"/>
      <c r="O152" s="89"/>
    </row>
    <row r="153" spans="1:15">
      <c r="A153" s="85">
        <v>8</v>
      </c>
      <c r="B153" s="86"/>
      <c r="C153" s="86"/>
      <c r="D153" s="88"/>
      <c r="E153" s="89"/>
      <c r="F153" s="24"/>
      <c r="G153" s="85"/>
      <c r="H153" s="85"/>
      <c r="J153" s="86"/>
      <c r="K153" s="85"/>
      <c r="L153" s="89"/>
      <c r="M153" s="86"/>
      <c r="N153" s="85"/>
      <c r="O153" s="89"/>
    </row>
    <row r="154" spans="1:15">
      <c r="A154" s="85">
        <v>9</v>
      </c>
      <c r="B154" s="86"/>
      <c r="C154" s="86"/>
      <c r="D154" s="88"/>
      <c r="E154" s="89"/>
      <c r="F154" s="24"/>
      <c r="G154" s="85"/>
      <c r="H154" s="85"/>
      <c r="J154" s="86"/>
      <c r="K154" s="85"/>
      <c r="L154" s="89"/>
      <c r="M154" s="86"/>
      <c r="N154" s="85"/>
      <c r="O154" s="89"/>
    </row>
    <row r="155" spans="1:15">
      <c r="A155" s="85">
        <v>10</v>
      </c>
      <c r="B155" s="86"/>
      <c r="C155" s="86"/>
      <c r="D155" s="88"/>
      <c r="E155" s="89"/>
      <c r="F155" s="24"/>
      <c r="G155" s="85"/>
      <c r="H155" s="85"/>
      <c r="J155" s="86"/>
      <c r="K155" s="85"/>
      <c r="L155" s="89"/>
      <c r="M155" s="86"/>
      <c r="N155" s="85"/>
      <c r="O155" s="89"/>
    </row>
    <row r="156" spans="1:15">
      <c r="A156" s="85">
        <v>11</v>
      </c>
      <c r="B156" s="86"/>
      <c r="C156" s="86"/>
      <c r="D156" s="88"/>
      <c r="E156" s="89"/>
      <c r="F156" s="24"/>
      <c r="G156" s="85"/>
      <c r="H156" s="85"/>
      <c r="J156" s="86"/>
      <c r="K156" s="85"/>
      <c r="L156" s="89"/>
      <c r="M156" s="86"/>
      <c r="N156" s="85"/>
      <c r="O156" s="89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F20 F32 F44 F84 F96 F108 F120 F132 F144 F156">
      <formula1>"小猪,蚂蚁,BNB,途家,闲鱼"</formula1>
    </dataValidation>
    <dataValidation type="list" allowBlank="1" showInputMessage="1" sqref="F22 F28 F74 F6:F19 F24:F26 F30:F31 F39:F43 F64:F71 F76:F83 F86:F95 F98:F107 F110:F119 F122:F131 F134:F143 F146:F155">
      <formula1>"小猪,蚂蚁,BNB,途家,闲鱼,线下"</formula1>
    </dataValidation>
    <dataValidation type="list" allowBlank="1" showInputMessage="1" sqref="F23 F27 F29 F46 F72 F48:F57 F58:F60 F62:F63">
      <formula1>"小猪,蚂蚁,BNB,途家,闲鱼"</formula1>
    </dataValidation>
    <dataValidation type="list" allowBlank="1" showInputMessage="1" showErrorMessage="1" sqref="N24 G74 G17:G20 G30:G32 G39:G44 G64:G71 G76:G84 G86:G96 G98:G108 G110:G120 G122:G132 G134:G144 G146:G156 N28:N32 N34:N44 N46:N57 N58:N60 N62:N72 N74:N84 N86:N96 N98:N108 N110:N120 N122:N132 N134:N144 N146:N156">
      <formula1>"王,娟,敏,蕾,佩,松"</formula1>
    </dataValidation>
    <dataValidation type="list" allowBlank="1" showInputMessage="1" showErrorMessage="1" sqref="F47 F75 F34:F38">
      <formula1>"小猪,蚂蚁,BNB,途家,闲鱼,线下"</formula1>
    </dataValidation>
    <dataValidation type="list" allowBlank="1" showInputMessage="1" showErrorMessage="1" sqref="G72 G75 G6:G16 G22:G23 G25:G29 G34:G38 G46:G57 G58:G60 G62:G63 M6:M20 M22:M27">
      <formula1>"王,娟,蕾,敏,佩,松"</formula1>
    </dataValidation>
    <dataValidation type="list" allowBlank="1" showInputMessage="1" showErrorMessage="1" sqref="K6:K20 K22:K32 K34:K44 K46:K57 K58:K60 K62:K72 K74:K84 K86:K96 K98:K108 K110:K120 K122:K132 K134:K144 K146:K156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9"/>
  </sheetPr>
  <dimension ref="A1:W151"/>
  <sheetViews>
    <sheetView zoomScale="85" zoomScaleNormal="85" workbookViewId="0">
      <pane xSplit="1" ySplit="4" topLeftCell="B37" activePane="bottomRight" state="frozen"/>
      <selection/>
      <selection pane="topRight"/>
      <selection pane="bottomLeft"/>
      <selection pane="bottomRight" activeCell="H45" sqref="H45:H48"/>
    </sheetView>
  </sheetViews>
  <sheetFormatPr defaultColWidth="9" defaultRowHeight="15"/>
  <cols>
    <col min="1" max="1" width="6" style="2" customWidth="1"/>
    <col min="2" max="2" width="10" style="2" customWidth="1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3" customWidth="1"/>
    <col min="17" max="17" width="5.625"/>
    <col min="18" max="18" width="6.375"/>
    <col min="19" max="19" width="5.625"/>
    <col min="20" max="20" width="7.41666666666667"/>
    <col min="21" max="21" width="5.625"/>
    <col min="22" max="22" width="8.375"/>
    <col min="23" max="23" width="5.625"/>
  </cols>
  <sheetData>
    <row r="1" s="4" customFormat="1" ht="39" customHeight="1" spans="1:23">
      <c r="A1" s="6" t="s">
        <v>239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31</v>
      </c>
      <c r="E5" s="16">
        <f t="shared" si="0"/>
        <v>3118.6</v>
      </c>
      <c r="F5" s="14"/>
      <c r="G5" s="17"/>
      <c r="H5" s="18">
        <f t="shared" si="0"/>
        <v>155.9</v>
      </c>
      <c r="J5" s="14"/>
      <c r="K5" s="14"/>
      <c r="L5" s="16">
        <f>SUM(L6:L16)</f>
        <v>170</v>
      </c>
      <c r="M5" s="14"/>
      <c r="N5" s="14"/>
      <c r="O5" s="16">
        <f>E5-H5-L5</f>
        <v>2792.7</v>
      </c>
      <c r="Q5" s="48"/>
      <c r="R5" s="48">
        <f>SUM(R6:R11)</f>
        <v>155.9</v>
      </c>
      <c r="S5" s="48"/>
      <c r="T5" s="49">
        <f>SUM(T6:T11)</f>
        <v>170</v>
      </c>
      <c r="U5" s="48"/>
      <c r="V5" s="48"/>
      <c r="W5" s="50"/>
    </row>
    <row r="6" spans="1:23">
      <c r="A6" s="19">
        <v>1</v>
      </c>
      <c r="B6" s="20"/>
      <c r="C6" s="21"/>
      <c r="D6" s="22"/>
      <c r="E6" s="23"/>
      <c r="F6" s="53"/>
      <c r="G6" s="19"/>
      <c r="H6" s="19"/>
      <c r="J6" s="40">
        <v>43125</v>
      </c>
      <c r="K6" s="19" t="s">
        <v>29</v>
      </c>
      <c r="L6" s="23">
        <v>100</v>
      </c>
      <c r="M6" s="19" t="s">
        <v>30</v>
      </c>
      <c r="N6" s="41" t="s">
        <v>96</v>
      </c>
      <c r="O6" s="23"/>
      <c r="Q6" s="48" t="s">
        <v>27</v>
      </c>
      <c r="R6" s="48">
        <f>SUMIF(G6:G16,Q6,H6:H16)</f>
        <v>0</v>
      </c>
      <c r="S6" s="48" t="s">
        <v>26</v>
      </c>
      <c r="T6" s="48">
        <f>SUMIF(K6:K16,S6,L6:L16)</f>
        <v>70</v>
      </c>
      <c r="U6" s="48" t="s">
        <v>28</v>
      </c>
      <c r="V6" s="48">
        <f>O5</f>
        <v>2792.7</v>
      </c>
      <c r="W6" s="50"/>
    </row>
    <row r="7" spans="1:23">
      <c r="A7" s="19">
        <v>2</v>
      </c>
      <c r="B7" s="54"/>
      <c r="C7" s="55"/>
      <c r="D7" s="55"/>
      <c r="E7" s="55"/>
      <c r="F7" s="55"/>
      <c r="G7" s="56"/>
      <c r="H7" s="57"/>
      <c r="J7" s="20">
        <v>43125</v>
      </c>
      <c r="K7" s="19" t="s">
        <v>26</v>
      </c>
      <c r="L7" s="23">
        <v>70</v>
      </c>
      <c r="M7" s="19" t="s">
        <v>27</v>
      </c>
      <c r="N7" s="42">
        <v>1.3</v>
      </c>
      <c r="O7" s="23"/>
      <c r="Q7" s="48" t="s">
        <v>25</v>
      </c>
      <c r="R7" s="48">
        <f>SUMIF(G6:G16,Q7,H6:H16)</f>
        <v>0</v>
      </c>
      <c r="S7" s="48" t="s">
        <v>29</v>
      </c>
      <c r="T7" s="48">
        <f>SUMIF(K6:K16,S7,L6:L16)</f>
        <v>100</v>
      </c>
      <c r="U7" s="48" t="s">
        <v>30</v>
      </c>
      <c r="V7" s="49">
        <f>ROUND(V6*W7,1)</f>
        <v>1117.1</v>
      </c>
      <c r="W7" s="51">
        <v>0.4</v>
      </c>
    </row>
    <row r="8" spans="1:23">
      <c r="A8" s="19">
        <v>3</v>
      </c>
      <c r="B8" s="20">
        <v>43442</v>
      </c>
      <c r="C8" s="21" t="s">
        <v>240</v>
      </c>
      <c r="D8" s="22">
        <v>31</v>
      </c>
      <c r="E8" s="55">
        <f>ROUND(3219.2/32*31,1)</f>
        <v>3118.6</v>
      </c>
      <c r="F8" s="53" t="s">
        <v>37</v>
      </c>
      <c r="G8" s="19" t="s">
        <v>35</v>
      </c>
      <c r="H8" s="25">
        <f>ROUND(E8*0.05,1)</f>
        <v>155.9</v>
      </c>
      <c r="J8" s="20"/>
      <c r="K8" s="19"/>
      <c r="L8" s="23"/>
      <c r="M8" s="20"/>
      <c r="N8" s="19"/>
      <c r="O8" s="23"/>
      <c r="Q8" s="48" t="s">
        <v>32</v>
      </c>
      <c r="R8" s="48">
        <f>SUMIF(G6:G16,Q8,H6:H16)</f>
        <v>0</v>
      </c>
      <c r="S8" s="48" t="s">
        <v>33</v>
      </c>
      <c r="T8" s="48">
        <f>SUMIF(K6:K16,S8,L6:L16)</f>
        <v>0</v>
      </c>
      <c r="U8" s="48" t="s">
        <v>32</v>
      </c>
      <c r="V8" s="49">
        <f>ROUND(V6*W8,1)</f>
        <v>1117.1</v>
      </c>
      <c r="W8" s="51">
        <v>0.4</v>
      </c>
    </row>
    <row r="9" spans="1:23">
      <c r="A9" s="19">
        <v>4</v>
      </c>
      <c r="B9" s="20"/>
      <c r="C9" s="21"/>
      <c r="D9" s="22"/>
      <c r="E9" s="23"/>
      <c r="F9" s="53"/>
      <c r="G9" s="19"/>
      <c r="H9" s="19"/>
      <c r="J9" s="20"/>
      <c r="K9" s="19"/>
      <c r="L9" s="23"/>
      <c r="M9" s="20"/>
      <c r="N9" s="19"/>
      <c r="O9" s="23"/>
      <c r="Q9" s="48" t="s">
        <v>35</v>
      </c>
      <c r="R9" s="48">
        <f>SUMIF(G6:G16,Q9,H6:H16)</f>
        <v>155.9</v>
      </c>
      <c r="S9" s="48" t="s">
        <v>36</v>
      </c>
      <c r="T9" s="48">
        <f>SUMIF(K6:K16,S9,L6:L16)</f>
        <v>0</v>
      </c>
      <c r="U9" s="48" t="s">
        <v>117</v>
      </c>
      <c r="V9" s="49">
        <f>ROUND(V6*W9,1)</f>
        <v>558.5</v>
      </c>
      <c r="W9" s="51">
        <v>0.2</v>
      </c>
    </row>
    <row r="10" spans="1:23">
      <c r="A10" s="19">
        <v>5</v>
      </c>
      <c r="B10" s="20"/>
      <c r="C10" s="21"/>
      <c r="D10" s="22"/>
      <c r="E10" s="23"/>
      <c r="F10" s="53"/>
      <c r="G10" s="19"/>
      <c r="H10" s="25"/>
      <c r="J10" s="20"/>
      <c r="K10" s="19"/>
      <c r="L10" s="23"/>
      <c r="M10" s="20"/>
      <c r="N10" s="19"/>
      <c r="O10" s="23"/>
      <c r="Q10" s="48" t="s">
        <v>30</v>
      </c>
      <c r="R10" s="48">
        <f>SUMIF(G6:G16,Q10,H6:H16)</f>
        <v>0</v>
      </c>
      <c r="S10" s="48" t="s">
        <v>38</v>
      </c>
      <c r="T10" s="48">
        <f>SUMIF(K6:K16,S10,L6:L16)</f>
        <v>0</v>
      </c>
      <c r="U10" s="48"/>
      <c r="V10" s="52"/>
      <c r="W10" s="51"/>
    </row>
    <row r="11" spans="1:23">
      <c r="A11" s="19">
        <v>6</v>
      </c>
      <c r="B11" s="20"/>
      <c r="C11" s="21"/>
      <c r="D11" s="22"/>
      <c r="E11" s="23"/>
      <c r="F11" s="24"/>
      <c r="G11" s="58"/>
      <c r="H11" s="58"/>
      <c r="J11" s="20"/>
      <c r="K11" s="19"/>
      <c r="L11" s="23"/>
      <c r="M11" s="20"/>
      <c r="N11" s="19"/>
      <c r="O11" s="23"/>
      <c r="Q11" s="48" t="s">
        <v>39</v>
      </c>
      <c r="R11" s="48">
        <f>SUMIF(G6:G16,Q11,H6:H16)</f>
        <v>0</v>
      </c>
      <c r="S11" s="48" t="s">
        <v>40</v>
      </c>
      <c r="T11" s="48">
        <f>SUMIF(K6:K16,S11,L6:L16)</f>
        <v>0</v>
      </c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19"/>
      <c r="J12" s="20"/>
      <c r="K12" s="19"/>
      <c r="L12" s="23"/>
      <c r="M12" s="20"/>
      <c r="N12" s="19"/>
      <c r="O12" s="23"/>
    </row>
    <row r="13" spans="1:15">
      <c r="A13" s="19">
        <v>8</v>
      </c>
      <c r="B13" s="20"/>
      <c r="C13" s="21"/>
      <c r="D13" s="22"/>
      <c r="E13" s="23"/>
      <c r="F13" s="24"/>
      <c r="G13" s="19"/>
      <c r="H13" s="19"/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2"/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19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19"/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13"/>
      <c r="C17" s="14"/>
      <c r="D17" s="15">
        <f t="shared" ref="D17:H17" si="1">SUM(D18:D28)</f>
        <v>24</v>
      </c>
      <c r="E17" s="16">
        <f t="shared" si="1"/>
        <v>6312.1</v>
      </c>
      <c r="F17" s="14"/>
      <c r="G17" s="14"/>
      <c r="H17" s="16">
        <f t="shared" si="1"/>
        <v>315.6</v>
      </c>
      <c r="J17" s="14"/>
      <c r="K17" s="14"/>
      <c r="L17" s="16">
        <f>SUM(L18:L28)</f>
        <v>1030</v>
      </c>
      <c r="M17" s="14"/>
      <c r="N17" s="14"/>
      <c r="O17" s="16">
        <f>E17-H17-L17</f>
        <v>4966.5</v>
      </c>
      <c r="Q17" s="48"/>
      <c r="R17" s="48">
        <f>SUM(R18:R23)</f>
        <v>315.6</v>
      </c>
      <c r="S17" s="48"/>
      <c r="T17" s="49">
        <f>SUM(T18:T23)</f>
        <v>1030</v>
      </c>
      <c r="U17" s="48"/>
      <c r="V17" s="48"/>
      <c r="W17" s="50"/>
    </row>
    <row r="18" spans="1:23">
      <c r="A18" s="19">
        <v>1</v>
      </c>
      <c r="B18" s="20">
        <v>43442</v>
      </c>
      <c r="C18" s="21">
        <v>2.1</v>
      </c>
      <c r="D18" s="22">
        <v>1</v>
      </c>
      <c r="E18" s="55">
        <f>ROUND(3219.2/32*1,1)</f>
        <v>100.6</v>
      </c>
      <c r="F18" s="53" t="s">
        <v>37</v>
      </c>
      <c r="G18" s="19" t="s">
        <v>35</v>
      </c>
      <c r="H18" s="25">
        <f t="shared" ref="H18:H28" si="2">ROUND(E18*0.05,1)</f>
        <v>5</v>
      </c>
      <c r="J18" s="40">
        <v>43133</v>
      </c>
      <c r="K18" s="19" t="s">
        <v>26</v>
      </c>
      <c r="L18" s="23">
        <v>140</v>
      </c>
      <c r="M18" s="19" t="s">
        <v>27</v>
      </c>
      <c r="N18" s="41">
        <v>2.13</v>
      </c>
      <c r="O18" s="23"/>
      <c r="Q18" s="48" t="s">
        <v>27</v>
      </c>
      <c r="R18" s="48">
        <f>SUMIF(G18:G28,Q18,H18:H28)</f>
        <v>73.7</v>
      </c>
      <c r="S18" s="48" t="s">
        <v>26</v>
      </c>
      <c r="T18" s="48">
        <f>SUMIF(K18:K28,S18,L18:L28)</f>
        <v>630</v>
      </c>
      <c r="U18" s="48" t="s">
        <v>28</v>
      </c>
      <c r="V18" s="48">
        <f>O17</f>
        <v>4966.5</v>
      </c>
      <c r="W18" s="50"/>
    </row>
    <row r="19" spans="1:23">
      <c r="A19" s="19">
        <v>2</v>
      </c>
      <c r="B19" s="20">
        <v>43131</v>
      </c>
      <c r="C19" s="21" t="s">
        <v>241</v>
      </c>
      <c r="D19" s="22">
        <v>8</v>
      </c>
      <c r="E19" s="23">
        <v>1900.8</v>
      </c>
      <c r="F19" s="24" t="s">
        <v>46</v>
      </c>
      <c r="G19" s="19" t="s">
        <v>35</v>
      </c>
      <c r="H19" s="25">
        <f t="shared" si="2"/>
        <v>95</v>
      </c>
      <c r="J19" s="20">
        <v>43134</v>
      </c>
      <c r="K19" s="19" t="s">
        <v>29</v>
      </c>
      <c r="L19" s="23">
        <v>100</v>
      </c>
      <c r="M19" s="19" t="s">
        <v>35</v>
      </c>
      <c r="N19" s="41" t="s">
        <v>96</v>
      </c>
      <c r="O19" s="23"/>
      <c r="Q19" s="48" t="s">
        <v>25</v>
      </c>
      <c r="R19" s="48">
        <f>SUMIF(G18:G28,Q19,H18:H28)</f>
        <v>80.2</v>
      </c>
      <c r="S19" s="48" t="s">
        <v>29</v>
      </c>
      <c r="T19" s="48">
        <f>SUMIF(K18:K28,S19,L18:L28)</f>
        <v>400</v>
      </c>
      <c r="U19" s="48" t="s">
        <v>30</v>
      </c>
      <c r="V19" s="49">
        <f>ROUND(V18*W19,1)</f>
        <v>1986.6</v>
      </c>
      <c r="W19" s="51">
        <v>0.4</v>
      </c>
    </row>
    <row r="20" spans="1:23">
      <c r="A20" s="19">
        <v>3</v>
      </c>
      <c r="B20" s="20">
        <v>43133</v>
      </c>
      <c r="C20" s="21" t="s">
        <v>242</v>
      </c>
      <c r="D20" s="22">
        <v>3</v>
      </c>
      <c r="E20" s="23">
        <v>696.6</v>
      </c>
      <c r="F20" s="24" t="s">
        <v>46</v>
      </c>
      <c r="G20" s="19" t="s">
        <v>35</v>
      </c>
      <c r="H20" s="25">
        <f t="shared" si="2"/>
        <v>34.8</v>
      </c>
      <c r="J20" s="20">
        <v>43147</v>
      </c>
      <c r="K20" s="19" t="s">
        <v>29</v>
      </c>
      <c r="L20" s="23">
        <v>300</v>
      </c>
      <c r="M20" s="19" t="s">
        <v>30</v>
      </c>
      <c r="N20" s="41" t="s">
        <v>96</v>
      </c>
      <c r="O20" s="23"/>
      <c r="Q20" s="48" t="s">
        <v>32</v>
      </c>
      <c r="R20" s="48">
        <f>SUMIF(G18:G28,Q20,H18:H28)</f>
        <v>0</v>
      </c>
      <c r="S20" s="48" t="s">
        <v>33</v>
      </c>
      <c r="T20" s="48">
        <f>SUMIF(K18:K28,S20,L18:L28)</f>
        <v>0</v>
      </c>
      <c r="U20" s="48" t="s">
        <v>32</v>
      </c>
      <c r="V20" s="49">
        <f>ROUND(V18*W20,1)</f>
        <v>1986.6</v>
      </c>
      <c r="W20" s="51">
        <v>0.4</v>
      </c>
    </row>
    <row r="21" spans="1:23">
      <c r="A21" s="19">
        <v>4</v>
      </c>
      <c r="B21" s="20">
        <v>43158</v>
      </c>
      <c r="C21" s="21" t="s">
        <v>98</v>
      </c>
      <c r="D21" s="22">
        <v>3</v>
      </c>
      <c r="E21" s="22">
        <v>1296</v>
      </c>
      <c r="F21" s="24" t="s">
        <v>24</v>
      </c>
      <c r="G21" s="19" t="s">
        <v>27</v>
      </c>
      <c r="H21" s="25">
        <f t="shared" si="2"/>
        <v>64.8</v>
      </c>
      <c r="J21" s="20">
        <v>43150</v>
      </c>
      <c r="K21" s="19" t="s">
        <v>26</v>
      </c>
      <c r="L21" s="23">
        <v>140</v>
      </c>
      <c r="M21" s="19" t="s">
        <v>25</v>
      </c>
      <c r="N21" s="19"/>
      <c r="O21" s="23"/>
      <c r="Q21" s="48" t="s">
        <v>35</v>
      </c>
      <c r="R21" s="48">
        <f>SUMIF(G18:G28,Q21,H18:H28)</f>
        <v>134.8</v>
      </c>
      <c r="S21" s="48" t="s">
        <v>36</v>
      </c>
      <c r="T21" s="48">
        <f>SUMIF(K18:K28,S21,L18:L28)</f>
        <v>0</v>
      </c>
      <c r="U21" s="48" t="s">
        <v>117</v>
      </c>
      <c r="V21" s="49">
        <f>ROUND(V18*W21,1)</f>
        <v>993.3</v>
      </c>
      <c r="W21" s="51">
        <v>0.2</v>
      </c>
    </row>
    <row r="22" spans="1:23">
      <c r="A22" s="19">
        <v>5</v>
      </c>
      <c r="B22" s="20">
        <v>43146</v>
      </c>
      <c r="C22" s="21" t="s">
        <v>99</v>
      </c>
      <c r="D22" s="22">
        <v>2</v>
      </c>
      <c r="E22" s="23">
        <v>878.4</v>
      </c>
      <c r="F22" s="24" t="s">
        <v>46</v>
      </c>
      <c r="G22" s="19" t="s">
        <v>25</v>
      </c>
      <c r="H22" s="25">
        <f t="shared" si="2"/>
        <v>43.9</v>
      </c>
      <c r="J22" s="20">
        <v>43153</v>
      </c>
      <c r="K22" s="19" t="s">
        <v>26</v>
      </c>
      <c r="L22" s="23">
        <v>140</v>
      </c>
      <c r="M22" s="19" t="s">
        <v>32</v>
      </c>
      <c r="N22" s="41" t="s">
        <v>56</v>
      </c>
      <c r="O22" s="23"/>
      <c r="Q22" s="48" t="s">
        <v>30</v>
      </c>
      <c r="R22" s="48">
        <f>SUMIF(G18:G28,Q22,H18:H28)</f>
        <v>0</v>
      </c>
      <c r="S22" s="48" t="s">
        <v>38</v>
      </c>
      <c r="T22" s="48">
        <f>SUMIF(K18:K28,S22,L18:L28)</f>
        <v>0</v>
      </c>
      <c r="U22" s="48"/>
      <c r="V22" s="52"/>
      <c r="W22" s="51"/>
    </row>
    <row r="23" spans="1:23">
      <c r="A23" s="19">
        <v>6</v>
      </c>
      <c r="B23" s="20">
        <v>43147</v>
      </c>
      <c r="C23" s="21">
        <v>2.21</v>
      </c>
      <c r="D23" s="22">
        <v>1</v>
      </c>
      <c r="E23" s="23">
        <v>258</v>
      </c>
      <c r="F23" s="24" t="s">
        <v>37</v>
      </c>
      <c r="G23" s="19" t="s">
        <v>25</v>
      </c>
      <c r="H23" s="25">
        <f t="shared" si="2"/>
        <v>12.9</v>
      </c>
      <c r="J23" s="20">
        <v>43154</v>
      </c>
      <c r="K23" s="19" t="s">
        <v>26</v>
      </c>
      <c r="L23" s="23">
        <f>70*1.5</f>
        <v>105</v>
      </c>
      <c r="M23" s="19" t="s">
        <v>32</v>
      </c>
      <c r="N23" s="41" t="s">
        <v>56</v>
      </c>
      <c r="O23" s="23"/>
      <c r="Q23" s="48" t="s">
        <v>39</v>
      </c>
      <c r="R23" s="48">
        <f>SUMIF(G18:G28,Q23,H18:H28)</f>
        <v>26.9</v>
      </c>
      <c r="S23" s="48" t="s">
        <v>40</v>
      </c>
      <c r="T23" s="48">
        <f>SUMIF(K18:K28,S23,L18:L28)</f>
        <v>0</v>
      </c>
      <c r="U23" s="48"/>
      <c r="V23" s="48"/>
      <c r="W23" s="50"/>
    </row>
    <row r="24" spans="1:15">
      <c r="A24" s="19">
        <v>7</v>
      </c>
      <c r="B24" s="20">
        <v>43152</v>
      </c>
      <c r="C24" s="21">
        <v>2.22</v>
      </c>
      <c r="D24" s="22">
        <v>1</v>
      </c>
      <c r="E24" s="23">
        <v>233.1</v>
      </c>
      <c r="F24" s="27" t="s">
        <v>46</v>
      </c>
      <c r="G24" s="19" t="s">
        <v>25</v>
      </c>
      <c r="H24" s="25">
        <f t="shared" si="2"/>
        <v>11.7</v>
      </c>
      <c r="J24" s="20">
        <v>43157</v>
      </c>
      <c r="K24" s="19" t="s">
        <v>26</v>
      </c>
      <c r="L24" s="23">
        <f>70*1.5</f>
        <v>105</v>
      </c>
      <c r="M24" s="19" t="s">
        <v>32</v>
      </c>
      <c r="N24" s="41" t="s">
        <v>56</v>
      </c>
      <c r="O24" s="23"/>
    </row>
    <row r="25" spans="1:15">
      <c r="A25" s="19">
        <v>8</v>
      </c>
      <c r="B25" s="20">
        <v>43454</v>
      </c>
      <c r="C25" s="20" t="s">
        <v>243</v>
      </c>
      <c r="D25" s="22">
        <v>3</v>
      </c>
      <c r="E25" s="23">
        <v>537.3</v>
      </c>
      <c r="F25" s="24" t="s">
        <v>24</v>
      </c>
      <c r="G25" s="19" t="s">
        <v>39</v>
      </c>
      <c r="H25" s="25">
        <f t="shared" si="2"/>
        <v>26.9</v>
      </c>
      <c r="J25" s="20"/>
      <c r="K25" s="19"/>
      <c r="L25" s="23"/>
      <c r="M25" s="20"/>
      <c r="N25" s="19"/>
      <c r="O25" s="23"/>
    </row>
    <row r="26" spans="1:15">
      <c r="A26" s="19">
        <v>9</v>
      </c>
      <c r="B26" s="20">
        <v>43157</v>
      </c>
      <c r="C26" s="21">
        <v>2.27</v>
      </c>
      <c r="D26" s="22">
        <v>1</v>
      </c>
      <c r="E26" s="23">
        <v>178.2</v>
      </c>
      <c r="F26" s="24" t="s">
        <v>24</v>
      </c>
      <c r="G26" s="19" t="s">
        <v>27</v>
      </c>
      <c r="H26" s="25">
        <f t="shared" si="2"/>
        <v>8.9</v>
      </c>
      <c r="J26" s="20"/>
      <c r="K26" s="19"/>
      <c r="L26" s="23"/>
      <c r="M26" s="20"/>
      <c r="N26" s="19"/>
      <c r="O26" s="23"/>
    </row>
    <row r="27" spans="1:15">
      <c r="A27" s="19">
        <v>10</v>
      </c>
      <c r="B27" s="20">
        <v>43157</v>
      </c>
      <c r="C27" s="21">
        <v>2.28</v>
      </c>
      <c r="D27" s="22">
        <v>1</v>
      </c>
      <c r="E27" s="23">
        <f>466.2/2</f>
        <v>233.1</v>
      </c>
      <c r="F27" s="24" t="s">
        <v>46</v>
      </c>
      <c r="G27" s="19" t="s">
        <v>25</v>
      </c>
      <c r="H27" s="25">
        <f t="shared" si="2"/>
        <v>11.7</v>
      </c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0"/>
      <c r="D28" s="22"/>
      <c r="E28" s="23"/>
      <c r="F28" s="24"/>
      <c r="G28" s="19"/>
      <c r="H28" s="25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3">SUM(D30:D43)</f>
        <v>24</v>
      </c>
      <c r="E29" s="16">
        <f t="shared" si="3"/>
        <v>5542.2</v>
      </c>
      <c r="F29" s="14"/>
      <c r="G29" s="14"/>
      <c r="H29" s="16">
        <f t="shared" si="3"/>
        <v>277.2</v>
      </c>
      <c r="J29" s="14"/>
      <c r="K29" s="14"/>
      <c r="L29" s="16">
        <f>SUM(L30:L43)</f>
        <v>1180</v>
      </c>
      <c r="M29" s="14"/>
      <c r="N29" s="14"/>
      <c r="O29" s="16">
        <f>E29-H29-L29</f>
        <v>4085</v>
      </c>
      <c r="Q29" s="48"/>
      <c r="R29" s="48">
        <f>SUM(R30:R35)</f>
        <v>277.2</v>
      </c>
      <c r="S29" s="48"/>
      <c r="T29" s="49">
        <f>SUM(T30:T35)</f>
        <v>1180</v>
      </c>
      <c r="U29" s="48"/>
      <c r="V29" s="48"/>
      <c r="W29" s="50"/>
    </row>
    <row r="30" spans="1:23">
      <c r="A30" s="19">
        <v>1</v>
      </c>
      <c r="B30" s="20">
        <v>43157</v>
      </c>
      <c r="C30" s="21">
        <v>3.1</v>
      </c>
      <c r="D30" s="22">
        <v>1</v>
      </c>
      <c r="E30" s="23">
        <f>466.2/2</f>
        <v>233.1</v>
      </c>
      <c r="F30" s="24" t="s">
        <v>46</v>
      </c>
      <c r="G30" s="19" t="s">
        <v>25</v>
      </c>
      <c r="H30" s="25">
        <f>ROUND(E30*0.05,1)</f>
        <v>11.7</v>
      </c>
      <c r="J30" s="40">
        <v>43161</v>
      </c>
      <c r="K30" s="19" t="s">
        <v>26</v>
      </c>
      <c r="L30" s="23">
        <v>70</v>
      </c>
      <c r="M30" s="40" t="s">
        <v>27</v>
      </c>
      <c r="N30" s="19">
        <v>3.3</v>
      </c>
      <c r="O30" s="23"/>
      <c r="Q30" s="48" t="s">
        <v>27</v>
      </c>
      <c r="R30" s="48">
        <f>SUMIF(G30:G43,Q30,H30:H43)</f>
        <v>82.3</v>
      </c>
      <c r="S30" s="48" t="s">
        <v>26</v>
      </c>
      <c r="T30" s="48">
        <f>SUMIF(K30:K43,S30,L30:L43)</f>
        <v>805</v>
      </c>
      <c r="U30" s="48" t="s">
        <v>28</v>
      </c>
      <c r="V30" s="48">
        <f>O29</f>
        <v>4085</v>
      </c>
      <c r="W30" s="50"/>
    </row>
    <row r="31" spans="1:23">
      <c r="A31" s="19">
        <v>2</v>
      </c>
      <c r="B31" s="20">
        <v>43160</v>
      </c>
      <c r="C31" s="21">
        <v>3.2</v>
      </c>
      <c r="D31" s="22">
        <v>1</v>
      </c>
      <c r="E31" s="23">
        <v>178.2</v>
      </c>
      <c r="F31" s="24" t="s">
        <v>57</v>
      </c>
      <c r="G31" s="19" t="s">
        <v>27</v>
      </c>
      <c r="H31" s="25">
        <v>8.9</v>
      </c>
      <c r="J31" s="20">
        <v>43161</v>
      </c>
      <c r="K31" s="19" t="s">
        <v>33</v>
      </c>
      <c r="L31" s="23">
        <v>75</v>
      </c>
      <c r="M31" s="20" t="s">
        <v>32</v>
      </c>
      <c r="N31" s="19" t="s">
        <v>244</v>
      </c>
      <c r="O31" s="23"/>
      <c r="Q31" s="48" t="s">
        <v>25</v>
      </c>
      <c r="R31" s="48">
        <f>SUMIF(G30:G43,Q31,H30:H43)</f>
        <v>129.2</v>
      </c>
      <c r="S31" s="48" t="s">
        <v>29</v>
      </c>
      <c r="T31" s="48">
        <f>SUMIF(K30:K43,S31,L30:L43)</f>
        <v>300</v>
      </c>
      <c r="U31" s="48" t="s">
        <v>30</v>
      </c>
      <c r="V31" s="49">
        <f>ROUND(V30*W31,1)</f>
        <v>1634</v>
      </c>
      <c r="W31" s="51">
        <v>0.4</v>
      </c>
    </row>
    <row r="32" spans="1:23">
      <c r="A32" s="19">
        <v>3</v>
      </c>
      <c r="B32" s="20">
        <v>43164</v>
      </c>
      <c r="C32" s="21" t="s">
        <v>159</v>
      </c>
      <c r="D32" s="22">
        <v>2</v>
      </c>
      <c r="E32" s="23">
        <v>358.2</v>
      </c>
      <c r="F32" s="24" t="s">
        <v>46</v>
      </c>
      <c r="G32" s="19" t="s">
        <v>25</v>
      </c>
      <c r="H32" s="25">
        <v>17.9</v>
      </c>
      <c r="J32" s="20">
        <v>43161</v>
      </c>
      <c r="K32" s="19" t="s">
        <v>26</v>
      </c>
      <c r="L32" s="23">
        <v>105</v>
      </c>
      <c r="M32" s="20" t="s">
        <v>32</v>
      </c>
      <c r="N32" s="19" t="s">
        <v>56</v>
      </c>
      <c r="O32" s="23"/>
      <c r="Q32" s="48" t="s">
        <v>32</v>
      </c>
      <c r="R32" s="48">
        <f>SUMIF(G30:G43,Q32,H30:H43)</f>
        <v>65.7</v>
      </c>
      <c r="S32" s="48" t="s">
        <v>33</v>
      </c>
      <c r="T32" s="48">
        <f>SUMIF(K30:K43,S32,L30:L43)</f>
        <v>75</v>
      </c>
      <c r="U32" s="48" t="s">
        <v>32</v>
      </c>
      <c r="V32" s="49">
        <f>ROUND(V30*W32,1)</f>
        <v>1634</v>
      </c>
      <c r="W32" s="51">
        <v>0.4</v>
      </c>
    </row>
    <row r="33" spans="1:23">
      <c r="A33" s="19">
        <v>4</v>
      </c>
      <c r="B33" s="20">
        <v>43168</v>
      </c>
      <c r="C33" s="21">
        <v>3.9</v>
      </c>
      <c r="D33" s="22">
        <v>1</v>
      </c>
      <c r="E33" s="23">
        <v>179.1</v>
      </c>
      <c r="F33" s="24" t="s">
        <v>46</v>
      </c>
      <c r="G33" s="19" t="s">
        <v>25</v>
      </c>
      <c r="H33" s="25">
        <v>9</v>
      </c>
      <c r="J33" s="20">
        <v>43164</v>
      </c>
      <c r="K33" s="19" t="s">
        <v>26</v>
      </c>
      <c r="L33" s="23">
        <v>70</v>
      </c>
      <c r="M33" s="20" t="s">
        <v>27</v>
      </c>
      <c r="N33" s="19">
        <v>3.7</v>
      </c>
      <c r="O33" s="23"/>
      <c r="Q33" s="48" t="s">
        <v>35</v>
      </c>
      <c r="R33" s="48">
        <f>SUMIF(G30:G43,Q33,H30:H43)</f>
        <v>0</v>
      </c>
      <c r="S33" s="48" t="s">
        <v>36</v>
      </c>
      <c r="T33" s="48">
        <f>SUMIF(K30:K43,S33,L30:L43)</f>
        <v>0</v>
      </c>
      <c r="U33" s="48" t="s">
        <v>117</v>
      </c>
      <c r="V33" s="49">
        <f>ROUND(V30*W33,1)</f>
        <v>817</v>
      </c>
      <c r="W33" s="51">
        <v>0.2</v>
      </c>
    </row>
    <row r="34" spans="1:23">
      <c r="A34" s="19">
        <v>5</v>
      </c>
      <c r="B34" s="20">
        <v>43169</v>
      </c>
      <c r="C34" s="21" t="s">
        <v>245</v>
      </c>
      <c r="D34" s="22">
        <v>2</v>
      </c>
      <c r="E34" s="23">
        <v>358.2</v>
      </c>
      <c r="F34" s="24" t="s">
        <v>46</v>
      </c>
      <c r="G34" s="19" t="s">
        <v>25</v>
      </c>
      <c r="H34" s="25">
        <v>17.9</v>
      </c>
      <c r="J34" s="20">
        <v>43168</v>
      </c>
      <c r="K34" s="19" t="s">
        <v>26</v>
      </c>
      <c r="L34" s="23">
        <v>70</v>
      </c>
      <c r="M34" s="20" t="s">
        <v>27</v>
      </c>
      <c r="N34" s="19">
        <v>3.1</v>
      </c>
      <c r="O34" s="23"/>
      <c r="Q34" s="48" t="s">
        <v>30</v>
      </c>
      <c r="R34" s="48">
        <f>SUMIF(G30:G43,Q34,H30:H43)</f>
        <v>0</v>
      </c>
      <c r="S34" s="48" t="s">
        <v>38</v>
      </c>
      <c r="T34" s="48">
        <f>SUMIF(K30:K43,S34,L30:L43)</f>
        <v>0</v>
      </c>
      <c r="U34" s="48"/>
      <c r="V34" s="52"/>
      <c r="W34" s="51"/>
    </row>
    <row r="35" spans="1:23">
      <c r="A35" s="19">
        <v>6</v>
      </c>
      <c r="B35" s="20">
        <v>43162</v>
      </c>
      <c r="C35" s="21" t="s">
        <v>246</v>
      </c>
      <c r="D35" s="22">
        <v>3</v>
      </c>
      <c r="E35" s="23">
        <v>537.3</v>
      </c>
      <c r="F35" s="24" t="s">
        <v>46</v>
      </c>
      <c r="G35" s="19" t="s">
        <v>25</v>
      </c>
      <c r="H35" s="25">
        <v>26.9</v>
      </c>
      <c r="J35" s="20">
        <v>43169</v>
      </c>
      <c r="K35" s="19" t="s">
        <v>26</v>
      </c>
      <c r="L35" s="23">
        <v>70</v>
      </c>
      <c r="M35" s="20" t="s">
        <v>27</v>
      </c>
      <c r="N35" s="19">
        <v>3.12</v>
      </c>
      <c r="O35" s="23"/>
      <c r="Q35" s="48" t="s">
        <v>39</v>
      </c>
      <c r="R35" s="48">
        <f>SUMIF(G30:G43,Q35,H30:H43)</f>
        <v>0</v>
      </c>
      <c r="S35" s="48" t="s">
        <v>40</v>
      </c>
      <c r="T35" s="48">
        <f>SUMIF(K30:K43,S35,L30:L43)</f>
        <v>0</v>
      </c>
      <c r="U35" s="48"/>
      <c r="V35" s="48"/>
      <c r="W35" s="50"/>
    </row>
    <row r="36" spans="1:15">
      <c r="A36" s="19">
        <v>7</v>
      </c>
      <c r="B36" s="20">
        <v>43176</v>
      </c>
      <c r="C36" s="21" t="s">
        <v>247</v>
      </c>
      <c r="D36" s="22">
        <v>2</v>
      </c>
      <c r="E36" s="23">
        <v>684</v>
      </c>
      <c r="F36" s="24" t="s">
        <v>24</v>
      </c>
      <c r="G36" s="19" t="s">
        <v>27</v>
      </c>
      <c r="H36" s="25">
        <f t="shared" ref="H36:H39" si="4">ROUND(E36*0.05,1)</f>
        <v>34.2</v>
      </c>
      <c r="J36" s="20">
        <v>43175</v>
      </c>
      <c r="K36" s="19" t="s">
        <v>26</v>
      </c>
      <c r="L36" s="23">
        <v>70</v>
      </c>
      <c r="M36" s="20" t="s">
        <v>32</v>
      </c>
      <c r="N36" s="19" t="s">
        <v>56</v>
      </c>
      <c r="O36" s="23"/>
    </row>
    <row r="37" spans="1:15">
      <c r="A37" s="19">
        <v>8</v>
      </c>
      <c r="B37" s="20">
        <v>43175</v>
      </c>
      <c r="C37" s="21" t="s">
        <v>248</v>
      </c>
      <c r="D37" s="22">
        <v>3</v>
      </c>
      <c r="E37" s="23">
        <v>1314</v>
      </c>
      <c r="F37" s="27" t="s">
        <v>37</v>
      </c>
      <c r="G37" s="19" t="s">
        <v>32</v>
      </c>
      <c r="H37" s="25">
        <f t="shared" si="4"/>
        <v>65.7</v>
      </c>
      <c r="J37" s="20">
        <v>43177</v>
      </c>
      <c r="K37" s="19" t="s">
        <v>29</v>
      </c>
      <c r="L37" s="23">
        <v>300</v>
      </c>
      <c r="M37" s="20" t="s">
        <v>30</v>
      </c>
      <c r="N37" s="19" t="s">
        <v>96</v>
      </c>
      <c r="O37" s="23"/>
    </row>
    <row r="38" spans="1:15">
      <c r="A38" s="19">
        <v>9</v>
      </c>
      <c r="B38" s="20">
        <v>43178</v>
      </c>
      <c r="C38" s="21" t="s">
        <v>64</v>
      </c>
      <c r="D38" s="59">
        <v>2</v>
      </c>
      <c r="E38" s="23">
        <v>392.4</v>
      </c>
      <c r="F38" s="24" t="s">
        <v>24</v>
      </c>
      <c r="G38" s="60" t="s">
        <v>27</v>
      </c>
      <c r="H38" s="25">
        <f t="shared" si="4"/>
        <v>19.6</v>
      </c>
      <c r="J38" s="20">
        <v>43178</v>
      </c>
      <c r="K38" s="19" t="s">
        <v>26</v>
      </c>
      <c r="L38" s="23">
        <v>70</v>
      </c>
      <c r="M38" s="20" t="s">
        <v>32</v>
      </c>
      <c r="N38" s="19" t="s">
        <v>56</v>
      </c>
      <c r="O38" s="23"/>
    </row>
    <row r="39" spans="1:15">
      <c r="A39" s="19">
        <v>10</v>
      </c>
      <c r="B39" s="20">
        <v>43182</v>
      </c>
      <c r="C39" s="21">
        <v>3.24</v>
      </c>
      <c r="D39" s="61">
        <v>1</v>
      </c>
      <c r="E39" s="23">
        <v>179.1</v>
      </c>
      <c r="F39" s="24" t="s">
        <v>46</v>
      </c>
      <c r="G39" s="62" t="s">
        <v>25</v>
      </c>
      <c r="H39" s="25">
        <f t="shared" si="4"/>
        <v>9</v>
      </c>
      <c r="J39" s="20">
        <v>43181</v>
      </c>
      <c r="K39" s="19" t="s">
        <v>26</v>
      </c>
      <c r="L39" s="23">
        <v>70</v>
      </c>
      <c r="M39" s="20" t="s">
        <v>32</v>
      </c>
      <c r="N39" s="19" t="s">
        <v>56</v>
      </c>
      <c r="O39" s="23"/>
    </row>
    <row r="40" spans="1:15">
      <c r="A40" s="19">
        <v>11</v>
      </c>
      <c r="B40" s="20">
        <v>43183</v>
      </c>
      <c r="C40" s="21">
        <v>3.25</v>
      </c>
      <c r="D40" s="61">
        <v>1</v>
      </c>
      <c r="E40" s="23">
        <v>196.2</v>
      </c>
      <c r="F40" s="24" t="s">
        <v>46</v>
      </c>
      <c r="G40" s="62" t="s">
        <v>25</v>
      </c>
      <c r="H40" s="25">
        <f t="shared" ref="H40:H49" si="5">ROUND(E40*0.05,1)</f>
        <v>9.8</v>
      </c>
      <c r="J40" s="20">
        <v>43183</v>
      </c>
      <c r="K40" s="19" t="s">
        <v>26</v>
      </c>
      <c r="L40" s="23">
        <v>70</v>
      </c>
      <c r="M40" s="20" t="s">
        <v>32</v>
      </c>
      <c r="N40" s="19" t="s">
        <v>56</v>
      </c>
      <c r="O40" s="23"/>
    </row>
    <row r="41" spans="1:15">
      <c r="A41" s="19">
        <v>12</v>
      </c>
      <c r="B41" s="20">
        <v>43184</v>
      </c>
      <c r="C41" s="21" t="s">
        <v>249</v>
      </c>
      <c r="D41" s="22">
        <v>3</v>
      </c>
      <c r="E41" s="23">
        <v>540</v>
      </c>
      <c r="F41" s="24" t="s">
        <v>37</v>
      </c>
      <c r="G41" s="19" t="s">
        <v>25</v>
      </c>
      <c r="H41" s="25">
        <f t="shared" si="5"/>
        <v>27</v>
      </c>
      <c r="J41" s="20">
        <v>43184</v>
      </c>
      <c r="K41" s="19" t="s">
        <v>26</v>
      </c>
      <c r="L41" s="23">
        <v>70</v>
      </c>
      <c r="M41" s="20" t="s">
        <v>32</v>
      </c>
      <c r="N41" s="19" t="s">
        <v>56</v>
      </c>
      <c r="O41" s="23"/>
    </row>
    <row r="42" spans="1:15">
      <c r="A42" s="19">
        <v>13</v>
      </c>
      <c r="B42" s="20">
        <v>43188</v>
      </c>
      <c r="C42" s="21" t="s">
        <v>250</v>
      </c>
      <c r="D42" s="22">
        <v>2</v>
      </c>
      <c r="E42" s="23">
        <f>ROUND(588.6/3*2,1)</f>
        <v>392.4</v>
      </c>
      <c r="F42" s="24" t="s">
        <v>24</v>
      </c>
      <c r="G42" s="19" t="s">
        <v>27</v>
      </c>
      <c r="H42" s="25">
        <f t="shared" si="5"/>
        <v>19.6</v>
      </c>
      <c r="J42" s="20">
        <v>43188</v>
      </c>
      <c r="K42" s="19" t="s">
        <v>26</v>
      </c>
      <c r="L42" s="23">
        <v>70</v>
      </c>
      <c r="M42" s="20" t="s">
        <v>32</v>
      </c>
      <c r="N42" s="19" t="s">
        <v>56</v>
      </c>
      <c r="O42" s="23"/>
    </row>
    <row r="43" spans="1:15">
      <c r="A43" s="19">
        <v>14</v>
      </c>
      <c r="B43" s="20"/>
      <c r="C43" s="21"/>
      <c r="D43" s="22"/>
      <c r="E43" s="23"/>
      <c r="F43" s="24"/>
      <c r="G43" s="19"/>
      <c r="H43" s="19"/>
      <c r="J43" s="20"/>
      <c r="K43" s="19"/>
      <c r="L43" s="23"/>
      <c r="M43" s="20"/>
      <c r="N43" s="19"/>
      <c r="O43" s="23"/>
    </row>
    <row r="44" ht="30" customHeight="1" spans="1:23">
      <c r="A44" s="12" t="s">
        <v>70</v>
      </c>
      <c r="B44" s="13"/>
      <c r="C44" s="14"/>
      <c r="D44" s="15">
        <f t="shared" ref="D44:H44" si="6">SUM(D45:D55)</f>
        <v>29</v>
      </c>
      <c r="E44" s="16">
        <f t="shared" si="6"/>
        <v>4849.6</v>
      </c>
      <c r="F44" s="14"/>
      <c r="G44" s="14"/>
      <c r="H44" s="16">
        <f t="shared" si="6"/>
        <v>242.5</v>
      </c>
      <c r="J44" s="14"/>
      <c r="K44" s="14"/>
      <c r="L44" s="16">
        <f>SUM(L45:L55)</f>
        <v>0</v>
      </c>
      <c r="M44" s="14"/>
      <c r="N44" s="14"/>
      <c r="O44" s="16">
        <f>E44-H44-L44</f>
        <v>4607.1</v>
      </c>
      <c r="Q44" s="48"/>
      <c r="R44" s="48">
        <f>SUM(R45:R50)</f>
        <v>242.5</v>
      </c>
      <c r="S44" s="48"/>
      <c r="T44" s="49">
        <f>SUM(T45:T50)</f>
        <v>0</v>
      </c>
      <c r="U44" s="48"/>
      <c r="V44" s="48"/>
      <c r="W44" s="50"/>
    </row>
    <row r="45" spans="1:23">
      <c r="A45" s="19">
        <v>1</v>
      </c>
      <c r="B45" s="20">
        <v>43188</v>
      </c>
      <c r="C45" s="21">
        <v>4.1</v>
      </c>
      <c r="D45" s="22">
        <v>1</v>
      </c>
      <c r="E45" s="23">
        <f>ROUND(588.6/3*1,1)</f>
        <v>196.2</v>
      </c>
      <c r="F45" s="24" t="s">
        <v>24</v>
      </c>
      <c r="G45" s="19" t="s">
        <v>27</v>
      </c>
      <c r="H45" s="25">
        <f t="shared" si="5"/>
        <v>9.8</v>
      </c>
      <c r="J45" s="40"/>
      <c r="K45" s="19"/>
      <c r="L45" s="23"/>
      <c r="M45" s="40"/>
      <c r="N45" s="19"/>
      <c r="O45" s="23"/>
      <c r="Q45" s="48" t="s">
        <v>27</v>
      </c>
      <c r="R45" s="48">
        <f>SUMIF(G45:G55,Q45,H45:H55)</f>
        <v>123.5</v>
      </c>
      <c r="S45" s="48" t="s">
        <v>26</v>
      </c>
      <c r="T45" s="48">
        <f>SUMIF(K45:K55,S45,L45:L55)</f>
        <v>0</v>
      </c>
      <c r="U45" s="48" t="s">
        <v>28</v>
      </c>
      <c r="V45" s="48">
        <f>O44</f>
        <v>4607.1</v>
      </c>
      <c r="W45" s="50"/>
    </row>
    <row r="46" spans="1:23">
      <c r="A46" s="19">
        <v>2</v>
      </c>
      <c r="B46" s="20">
        <v>43182</v>
      </c>
      <c r="C46" s="21" t="s">
        <v>251</v>
      </c>
      <c r="D46" s="61">
        <v>3</v>
      </c>
      <c r="E46" s="23">
        <v>633.6</v>
      </c>
      <c r="F46" s="24" t="s">
        <v>57</v>
      </c>
      <c r="G46" s="62" t="s">
        <v>27</v>
      </c>
      <c r="H46" s="25">
        <f t="shared" si="5"/>
        <v>31.7</v>
      </c>
      <c r="J46" s="20"/>
      <c r="K46" s="19"/>
      <c r="L46" s="23"/>
      <c r="M46" s="20"/>
      <c r="N46" s="19"/>
      <c r="O46" s="23"/>
      <c r="Q46" s="48" t="s">
        <v>25</v>
      </c>
      <c r="R46" s="48">
        <f>SUMIF(G45:G55,Q46,H45:H55)</f>
        <v>119</v>
      </c>
      <c r="S46" s="48" t="s">
        <v>29</v>
      </c>
      <c r="T46" s="48">
        <f>SUMIF(K45:K55,S46,L45:L55)</f>
        <v>0</v>
      </c>
      <c r="U46" s="48" t="s">
        <v>30</v>
      </c>
      <c r="V46" s="49">
        <f>ROUND(V45*W46,1)</f>
        <v>1842.8</v>
      </c>
      <c r="W46" s="51">
        <v>0.4</v>
      </c>
    </row>
    <row r="47" spans="1:23">
      <c r="A47" s="19">
        <v>3</v>
      </c>
      <c r="B47" s="20">
        <v>43193</v>
      </c>
      <c r="C47" s="21">
        <v>4.3</v>
      </c>
      <c r="D47" s="22">
        <v>1</v>
      </c>
      <c r="E47" s="23">
        <v>196.2</v>
      </c>
      <c r="F47" s="27" t="s">
        <v>24</v>
      </c>
      <c r="G47" s="19" t="s">
        <v>27</v>
      </c>
      <c r="H47" s="25">
        <f t="shared" si="5"/>
        <v>9.8</v>
      </c>
      <c r="J47" s="20"/>
      <c r="K47" s="19"/>
      <c r="L47" s="23"/>
      <c r="M47" s="20"/>
      <c r="N47" s="19"/>
      <c r="O47" s="23"/>
      <c r="Q47" s="48" t="s">
        <v>32</v>
      </c>
      <c r="R47" s="48">
        <f>SUMIF(G45:G55,Q47,H45:H55)</f>
        <v>0</v>
      </c>
      <c r="S47" s="48" t="s">
        <v>33</v>
      </c>
      <c r="T47" s="48">
        <f>SUMIF(K45:K55,S47,L45:L55)</f>
        <v>0</v>
      </c>
      <c r="U47" s="48" t="s">
        <v>32</v>
      </c>
      <c r="V47" s="49">
        <f>ROUND(V45*W47,1)</f>
        <v>1842.8</v>
      </c>
      <c r="W47" s="51">
        <v>0.4</v>
      </c>
    </row>
    <row r="48" spans="1:23">
      <c r="A48" s="19">
        <v>4</v>
      </c>
      <c r="B48" s="20">
        <v>43194</v>
      </c>
      <c r="C48" s="21" t="s">
        <v>252</v>
      </c>
      <c r="D48" s="22">
        <v>7</v>
      </c>
      <c r="E48" s="23">
        <v>1443.6</v>
      </c>
      <c r="F48" s="24" t="s">
        <v>24</v>
      </c>
      <c r="G48" s="19" t="s">
        <v>27</v>
      </c>
      <c r="H48" s="25">
        <f t="shared" si="5"/>
        <v>72.2</v>
      </c>
      <c r="J48" s="20"/>
      <c r="K48" s="19"/>
      <c r="L48" s="23"/>
      <c r="M48" s="20"/>
      <c r="N48" s="19"/>
      <c r="O48" s="23"/>
      <c r="Q48" s="48" t="s">
        <v>35</v>
      </c>
      <c r="R48" s="48">
        <f>SUMIF(G45:G55,Q48,H45:H55)</f>
        <v>0</v>
      </c>
      <c r="S48" s="48" t="s">
        <v>36</v>
      </c>
      <c r="T48" s="48">
        <f>SUMIF(K45:K55,S48,L45:L55)</f>
        <v>0</v>
      </c>
      <c r="U48" s="48" t="s">
        <v>117</v>
      </c>
      <c r="V48" s="49">
        <f>ROUND(V45*W48,1)</f>
        <v>921.4</v>
      </c>
      <c r="W48" s="51">
        <v>0.2</v>
      </c>
    </row>
    <row r="49" spans="1:23">
      <c r="A49" s="19">
        <v>5</v>
      </c>
      <c r="B49" s="20">
        <v>43200</v>
      </c>
      <c r="C49" s="21" t="s">
        <v>253</v>
      </c>
      <c r="D49" s="22">
        <v>17</v>
      </c>
      <c r="E49" s="23">
        <f>17*140</f>
        <v>2380</v>
      </c>
      <c r="F49" s="24" t="s">
        <v>37</v>
      </c>
      <c r="G49" s="19" t="s">
        <v>25</v>
      </c>
      <c r="H49" s="25">
        <f t="shared" si="5"/>
        <v>119</v>
      </c>
      <c r="J49" s="20"/>
      <c r="K49" s="19"/>
      <c r="L49" s="23"/>
      <c r="M49" s="20"/>
      <c r="N49" s="19"/>
      <c r="O49" s="23"/>
      <c r="Q49" s="48" t="s">
        <v>30</v>
      </c>
      <c r="R49" s="48">
        <f>SUMIF(G45:G55,Q49,H45:H55)</f>
        <v>0</v>
      </c>
      <c r="S49" s="48" t="s">
        <v>38</v>
      </c>
      <c r="T49" s="48">
        <f>SUMIF(K45:K55,S49,L45:L55)</f>
        <v>0</v>
      </c>
      <c r="U49" s="48"/>
      <c r="V49" s="52"/>
      <c r="W49" s="51"/>
    </row>
    <row r="50" spans="1:23">
      <c r="A50" s="19">
        <v>6</v>
      </c>
      <c r="B50" s="20"/>
      <c r="C50" s="21"/>
      <c r="D50" s="22"/>
      <c r="E50" s="23"/>
      <c r="F50" s="24"/>
      <c r="G50" s="19"/>
      <c r="H50" s="19"/>
      <c r="J50" s="20"/>
      <c r="K50" s="19"/>
      <c r="L50" s="23"/>
      <c r="M50" s="20"/>
      <c r="N50" s="19"/>
      <c r="O50" s="23"/>
      <c r="Q50" s="48" t="s">
        <v>39</v>
      </c>
      <c r="R50" s="48">
        <f>SUMIF(G45:G55,Q50,H45:H55)</f>
        <v>0</v>
      </c>
      <c r="S50" s="48" t="s">
        <v>40</v>
      </c>
      <c r="T50" s="48">
        <f>SUMIF(K45:K55,S50,L45:L55)</f>
        <v>0</v>
      </c>
      <c r="U50" s="48"/>
      <c r="V50" s="48"/>
      <c r="W50" s="50"/>
    </row>
    <row r="51" spans="1:15">
      <c r="A51" s="19">
        <v>7</v>
      </c>
      <c r="B51" s="20"/>
      <c r="C51" s="21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8</v>
      </c>
      <c r="B52" s="20"/>
      <c r="C52" s="21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spans="1:15">
      <c r="A53" s="19">
        <v>9</v>
      </c>
      <c r="B53" s="20"/>
      <c r="C53" s="21"/>
      <c r="D53" s="22"/>
      <c r="E53" s="23"/>
      <c r="F53" s="24"/>
      <c r="G53" s="19"/>
      <c r="H53" s="19"/>
      <c r="J53" s="20"/>
      <c r="K53" s="19"/>
      <c r="L53" s="23"/>
      <c r="M53" s="20"/>
      <c r="N53" s="19"/>
      <c r="O53" s="23"/>
    </row>
    <row r="54" spans="1:15">
      <c r="A54" s="19">
        <v>10</v>
      </c>
      <c r="B54" s="20"/>
      <c r="C54" s="21"/>
      <c r="D54" s="22"/>
      <c r="E54" s="23"/>
      <c r="F54" s="24"/>
      <c r="G54" s="19"/>
      <c r="H54" s="25"/>
      <c r="J54" s="20"/>
      <c r="K54" s="19"/>
      <c r="L54" s="23"/>
      <c r="M54" s="20"/>
      <c r="N54" s="19"/>
      <c r="O54" s="23"/>
    </row>
    <row r="55" spans="1:15">
      <c r="A55" s="19">
        <v>11</v>
      </c>
      <c r="B55" s="20"/>
      <c r="C55" s="21"/>
      <c r="D55" s="22"/>
      <c r="E55" s="23"/>
      <c r="F55" s="24"/>
      <c r="G55" s="19"/>
      <c r="H55" s="19"/>
      <c r="J55" s="20"/>
      <c r="K55" s="19"/>
      <c r="L55" s="23"/>
      <c r="M55" s="20"/>
      <c r="N55" s="19"/>
      <c r="O55" s="23"/>
    </row>
    <row r="56" ht="30" customHeight="1" spans="1:15">
      <c r="A56" s="12" t="s">
        <v>76</v>
      </c>
      <c r="B56" s="13"/>
      <c r="C56" s="14"/>
      <c r="D56" s="15">
        <f t="shared" ref="D56:H56" si="7">SUM(D57:D67)</f>
        <v>12</v>
      </c>
      <c r="E56" s="16">
        <f t="shared" si="7"/>
        <v>1680</v>
      </c>
      <c r="F56" s="14"/>
      <c r="G56" s="14"/>
      <c r="H56" s="16">
        <f t="shared" si="7"/>
        <v>84</v>
      </c>
      <c r="J56" s="14"/>
      <c r="K56" s="14"/>
      <c r="L56" s="16">
        <f>SUM(L57:L67)</f>
        <v>0</v>
      </c>
      <c r="M56" s="14"/>
      <c r="N56" s="14"/>
      <c r="O56" s="16"/>
    </row>
    <row r="57" spans="1:15">
      <c r="A57" s="19">
        <v>1</v>
      </c>
      <c r="B57" s="20">
        <v>43200</v>
      </c>
      <c r="C57" s="21" t="s">
        <v>254</v>
      </c>
      <c r="D57" s="22">
        <v>12</v>
      </c>
      <c r="E57" s="23">
        <f>140*12</f>
        <v>1680</v>
      </c>
      <c r="F57" s="24" t="s">
        <v>46</v>
      </c>
      <c r="G57" s="19" t="s">
        <v>25</v>
      </c>
      <c r="H57" s="25">
        <f>ROUND(E57*0.05,1)</f>
        <v>84</v>
      </c>
      <c r="J57" s="40"/>
      <c r="K57" s="19"/>
      <c r="L57" s="23"/>
      <c r="M57" s="40"/>
      <c r="N57" s="19"/>
      <c r="O57" s="23"/>
    </row>
    <row r="58" spans="1:15">
      <c r="A58" s="19">
        <v>2</v>
      </c>
      <c r="B58" s="20"/>
      <c r="C58" s="21"/>
      <c r="D58" s="22"/>
      <c r="E58" s="23"/>
      <c r="F58" s="19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3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4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5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6</v>
      </c>
      <c r="B62" s="20"/>
      <c r="C62" s="21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7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8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spans="1:15">
      <c r="A65" s="19">
        <v>9</v>
      </c>
      <c r="B65" s="20"/>
      <c r="C65" s="21"/>
      <c r="D65" s="22"/>
      <c r="E65" s="23"/>
      <c r="F65" s="24"/>
      <c r="G65" s="19"/>
      <c r="H65" s="19"/>
      <c r="J65" s="20"/>
      <c r="K65" s="19"/>
      <c r="L65" s="23"/>
      <c r="M65" s="20"/>
      <c r="N65" s="19"/>
      <c r="O65" s="23"/>
    </row>
    <row r="66" spans="1:15">
      <c r="A66" s="19">
        <v>10</v>
      </c>
      <c r="B66" s="20"/>
      <c r="C66" s="21"/>
      <c r="D66" s="22"/>
      <c r="E66" s="23"/>
      <c r="F66" s="24"/>
      <c r="G66" s="19"/>
      <c r="H66" s="19"/>
      <c r="J66" s="20"/>
      <c r="K66" s="19"/>
      <c r="L66" s="23"/>
      <c r="M66" s="20"/>
      <c r="N66" s="19"/>
      <c r="O66" s="23"/>
    </row>
    <row r="67" spans="1:15">
      <c r="A67" s="19">
        <v>11</v>
      </c>
      <c r="B67" s="20"/>
      <c r="C67" s="21"/>
      <c r="D67" s="22"/>
      <c r="E67" s="23"/>
      <c r="F67" s="24"/>
      <c r="G67" s="19"/>
      <c r="H67" s="19"/>
      <c r="J67" s="20"/>
      <c r="K67" s="19"/>
      <c r="L67" s="23"/>
      <c r="M67" s="20"/>
      <c r="N67" s="19"/>
      <c r="O67" s="23"/>
    </row>
    <row r="68" ht="30" customHeight="1" spans="1:15">
      <c r="A68" s="12" t="s">
        <v>80</v>
      </c>
      <c r="B68" s="13"/>
      <c r="C68" s="14"/>
      <c r="D68" s="15">
        <f t="shared" ref="D68:H68" si="8">SUM(D69:D79)</f>
        <v>2</v>
      </c>
      <c r="E68" s="16">
        <f t="shared" si="8"/>
        <v>428.4</v>
      </c>
      <c r="F68" s="14"/>
      <c r="G68" s="14"/>
      <c r="H68" s="16">
        <f t="shared" si="8"/>
        <v>21.4</v>
      </c>
      <c r="J68" s="14"/>
      <c r="K68" s="14"/>
      <c r="L68" s="16">
        <f>SUM(L69:L79)</f>
        <v>0</v>
      </c>
      <c r="M68" s="14"/>
      <c r="N68" s="14"/>
      <c r="O68" s="16"/>
    </row>
    <row r="69" spans="1:15">
      <c r="A69" s="19">
        <v>1</v>
      </c>
      <c r="B69" s="20"/>
      <c r="C69" s="21"/>
      <c r="D69" s="22"/>
      <c r="E69" s="23"/>
      <c r="F69" s="24"/>
      <c r="G69" s="19"/>
      <c r="H69" s="19"/>
      <c r="J69" s="40"/>
      <c r="K69" s="19"/>
      <c r="L69" s="23"/>
      <c r="M69" s="40"/>
      <c r="N69" s="19"/>
      <c r="O69" s="23"/>
    </row>
    <row r="70" spans="1:15">
      <c r="A70" s="19">
        <v>2</v>
      </c>
      <c r="B70" s="20">
        <v>43193</v>
      </c>
      <c r="C70" s="21" t="s">
        <v>255</v>
      </c>
      <c r="D70" s="22">
        <v>2</v>
      </c>
      <c r="E70" s="23">
        <v>428.4</v>
      </c>
      <c r="F70" s="24" t="s">
        <v>24</v>
      </c>
      <c r="G70" s="19" t="s">
        <v>27</v>
      </c>
      <c r="H70" s="25">
        <f>ROUND(E70*0.05,1)</f>
        <v>21.4</v>
      </c>
      <c r="J70" s="20"/>
      <c r="K70" s="19"/>
      <c r="L70" s="23"/>
      <c r="M70" s="20"/>
      <c r="N70" s="19"/>
      <c r="O70" s="23"/>
    </row>
    <row r="71" spans="1:15">
      <c r="A71" s="19">
        <v>3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4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5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6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7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8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spans="1:15">
      <c r="A77" s="19">
        <v>9</v>
      </c>
      <c r="B77" s="20"/>
      <c r="C77" s="21"/>
      <c r="D77" s="22"/>
      <c r="E77" s="23"/>
      <c r="F77" s="24"/>
      <c r="G77" s="19"/>
      <c r="H77" s="19"/>
      <c r="J77" s="20"/>
      <c r="K77" s="19"/>
      <c r="L77" s="23"/>
      <c r="M77" s="20"/>
      <c r="N77" s="19"/>
      <c r="O77" s="23"/>
    </row>
    <row r="78" spans="1:15">
      <c r="A78" s="19">
        <v>10</v>
      </c>
      <c r="B78" s="20"/>
      <c r="C78" s="21"/>
      <c r="D78" s="22"/>
      <c r="E78" s="23"/>
      <c r="F78" s="24"/>
      <c r="G78" s="19"/>
      <c r="H78" s="19"/>
      <c r="J78" s="20"/>
      <c r="K78" s="19"/>
      <c r="L78" s="23"/>
      <c r="M78" s="20"/>
      <c r="N78" s="19"/>
      <c r="O78" s="23"/>
    </row>
    <row r="79" spans="1:15">
      <c r="A79" s="19">
        <v>11</v>
      </c>
      <c r="B79" s="20"/>
      <c r="C79" s="21"/>
      <c r="D79" s="22"/>
      <c r="E79" s="23"/>
      <c r="F79" s="24"/>
      <c r="G79" s="19"/>
      <c r="H79" s="19"/>
      <c r="J79" s="20"/>
      <c r="K79" s="19"/>
      <c r="L79" s="23"/>
      <c r="M79" s="20"/>
      <c r="N79" s="19"/>
      <c r="O79" s="23"/>
    </row>
    <row r="80" ht="30" customHeight="1" spans="1:15">
      <c r="A80" s="12" t="s">
        <v>82</v>
      </c>
      <c r="B80" s="13"/>
      <c r="C80" s="14"/>
      <c r="D80" s="15">
        <f t="shared" ref="D80:H80" si="9">SUM(D81:D91)</f>
        <v>0</v>
      </c>
      <c r="E80" s="16">
        <f t="shared" si="9"/>
        <v>0</v>
      </c>
      <c r="F80" s="14"/>
      <c r="G80" s="14"/>
      <c r="H80" s="16">
        <f t="shared" si="9"/>
        <v>0</v>
      </c>
      <c r="J80" s="14"/>
      <c r="K80" s="14"/>
      <c r="L80" s="16">
        <f>SUM(L81:L91)</f>
        <v>0</v>
      </c>
      <c r="M80" s="14"/>
      <c r="N80" s="14"/>
      <c r="O80" s="16"/>
    </row>
    <row r="81" spans="1:15">
      <c r="A81" s="19">
        <v>1</v>
      </c>
      <c r="B81" s="20"/>
      <c r="C81" s="21"/>
      <c r="D81" s="22"/>
      <c r="E81" s="23"/>
      <c r="F81" s="24"/>
      <c r="G81" s="19"/>
      <c r="H81" s="19"/>
      <c r="J81" s="40"/>
      <c r="K81" s="19"/>
      <c r="L81" s="23"/>
      <c r="M81" s="40"/>
      <c r="N81" s="19"/>
      <c r="O81" s="23"/>
    </row>
    <row r="82" spans="1:15">
      <c r="A82" s="19">
        <v>2</v>
      </c>
      <c r="B82" s="20"/>
      <c r="C82" s="21"/>
      <c r="D82" s="22"/>
      <c r="E82" s="23"/>
      <c r="F82" s="19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3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4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5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6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7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8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spans="1:15">
      <c r="A89" s="19">
        <v>9</v>
      </c>
      <c r="B89" s="20"/>
      <c r="C89" s="21"/>
      <c r="D89" s="22"/>
      <c r="E89" s="23"/>
      <c r="F89" s="24"/>
      <c r="G89" s="19"/>
      <c r="H89" s="19"/>
      <c r="J89" s="20"/>
      <c r="K89" s="19"/>
      <c r="L89" s="23"/>
      <c r="M89" s="20"/>
      <c r="N89" s="19"/>
      <c r="O89" s="23"/>
    </row>
    <row r="90" spans="1:15">
      <c r="A90" s="19">
        <v>10</v>
      </c>
      <c r="B90" s="20"/>
      <c r="C90" s="21"/>
      <c r="D90" s="22"/>
      <c r="E90" s="23"/>
      <c r="F90" s="24"/>
      <c r="G90" s="19"/>
      <c r="H90" s="19"/>
      <c r="J90" s="20"/>
      <c r="K90" s="19"/>
      <c r="L90" s="23"/>
      <c r="M90" s="20"/>
      <c r="N90" s="19"/>
      <c r="O90" s="23"/>
    </row>
    <row r="91" spans="1:15">
      <c r="A91" s="19">
        <v>11</v>
      </c>
      <c r="B91" s="20"/>
      <c r="C91" s="21"/>
      <c r="D91" s="22"/>
      <c r="E91" s="23"/>
      <c r="F91" s="24"/>
      <c r="G91" s="19"/>
      <c r="H91" s="19"/>
      <c r="J91" s="20"/>
      <c r="K91" s="19"/>
      <c r="L91" s="23"/>
      <c r="M91" s="20"/>
      <c r="N91" s="19"/>
      <c r="O91" s="23"/>
    </row>
    <row r="92" ht="30" customHeight="1" spans="1:15">
      <c r="A92" s="12" t="s">
        <v>83</v>
      </c>
      <c r="B92" s="13"/>
      <c r="C92" s="14"/>
      <c r="D92" s="15">
        <f t="shared" ref="D92:H92" si="10">SUM(D93:D103)</f>
        <v>0</v>
      </c>
      <c r="E92" s="16">
        <f t="shared" si="10"/>
        <v>0</v>
      </c>
      <c r="F92" s="14"/>
      <c r="G92" s="14"/>
      <c r="H92" s="16">
        <f t="shared" si="10"/>
        <v>0</v>
      </c>
      <c r="J92" s="14"/>
      <c r="K92" s="14"/>
      <c r="L92" s="16">
        <f>SUM(L93:L103)</f>
        <v>0</v>
      </c>
      <c r="M92" s="14"/>
      <c r="N92" s="14"/>
      <c r="O92" s="16"/>
    </row>
    <row r="93" spans="1:15">
      <c r="A93" s="19">
        <v>1</v>
      </c>
      <c r="B93" s="20"/>
      <c r="C93" s="21"/>
      <c r="D93" s="22"/>
      <c r="E93" s="23"/>
      <c r="F93" s="24"/>
      <c r="G93" s="19"/>
      <c r="H93" s="19"/>
      <c r="J93" s="40"/>
      <c r="K93" s="19"/>
      <c r="L93" s="23"/>
      <c r="M93" s="40"/>
      <c r="N93" s="19"/>
      <c r="O93" s="23"/>
    </row>
    <row r="94" spans="1:15">
      <c r="A94" s="19">
        <v>2</v>
      </c>
      <c r="B94" s="20"/>
      <c r="C94" s="21"/>
      <c r="D94" s="22"/>
      <c r="E94" s="23"/>
      <c r="F94" s="19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3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4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5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6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7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8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spans="1:15">
      <c r="A101" s="19">
        <v>9</v>
      </c>
      <c r="B101" s="20"/>
      <c r="C101" s="21"/>
      <c r="D101" s="22"/>
      <c r="E101" s="23"/>
      <c r="F101" s="24"/>
      <c r="G101" s="19"/>
      <c r="H101" s="19"/>
      <c r="J101" s="20"/>
      <c r="K101" s="19"/>
      <c r="L101" s="23"/>
      <c r="M101" s="20"/>
      <c r="N101" s="19"/>
      <c r="O101" s="23"/>
    </row>
    <row r="102" spans="1:15">
      <c r="A102" s="19">
        <v>10</v>
      </c>
      <c r="B102" s="20"/>
      <c r="C102" s="21"/>
      <c r="D102" s="22"/>
      <c r="E102" s="23"/>
      <c r="F102" s="24"/>
      <c r="G102" s="19"/>
      <c r="H102" s="19"/>
      <c r="J102" s="20"/>
      <c r="K102" s="19"/>
      <c r="L102" s="23"/>
      <c r="M102" s="20"/>
      <c r="N102" s="19"/>
      <c r="O102" s="23"/>
    </row>
    <row r="103" spans="1:15">
      <c r="A103" s="19">
        <v>11</v>
      </c>
      <c r="B103" s="20"/>
      <c r="C103" s="21"/>
      <c r="D103" s="22"/>
      <c r="E103" s="23"/>
      <c r="F103" s="24"/>
      <c r="G103" s="19"/>
      <c r="H103" s="19"/>
      <c r="J103" s="20"/>
      <c r="K103" s="19"/>
      <c r="L103" s="23"/>
      <c r="M103" s="20"/>
      <c r="N103" s="19"/>
      <c r="O103" s="23"/>
    </row>
    <row r="104" ht="30" customHeight="1" spans="1:15">
      <c r="A104" s="12" t="s">
        <v>84</v>
      </c>
      <c r="B104" s="13"/>
      <c r="C104" s="14"/>
      <c r="D104" s="15">
        <f t="shared" ref="D104:H104" si="11">SUM(D105:D115)</f>
        <v>0</v>
      </c>
      <c r="E104" s="16">
        <f t="shared" si="11"/>
        <v>0</v>
      </c>
      <c r="F104" s="14"/>
      <c r="G104" s="14"/>
      <c r="H104" s="16">
        <f t="shared" si="11"/>
        <v>0</v>
      </c>
      <c r="J104" s="14"/>
      <c r="K104" s="14"/>
      <c r="L104" s="16">
        <f>SUM(L105:L115)</f>
        <v>0</v>
      </c>
      <c r="M104" s="14"/>
      <c r="N104" s="14"/>
      <c r="O104" s="16"/>
    </row>
    <row r="105" spans="1:15">
      <c r="A105" s="19">
        <v>1</v>
      </c>
      <c r="B105" s="20"/>
      <c r="C105" s="21"/>
      <c r="D105" s="22"/>
      <c r="E105" s="23"/>
      <c r="F105" s="24"/>
      <c r="G105" s="19"/>
      <c r="H105" s="19"/>
      <c r="J105" s="40"/>
      <c r="K105" s="19"/>
      <c r="L105" s="23"/>
      <c r="M105" s="40"/>
      <c r="N105" s="19"/>
      <c r="O105" s="23"/>
    </row>
    <row r="106" spans="1:15">
      <c r="A106" s="19">
        <v>2</v>
      </c>
      <c r="B106" s="20"/>
      <c r="C106" s="21"/>
      <c r="D106" s="22"/>
      <c r="E106" s="23"/>
      <c r="F106" s="19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3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4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5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6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7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8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spans="1:15">
      <c r="A113" s="19">
        <v>9</v>
      </c>
      <c r="B113" s="20"/>
      <c r="C113" s="21"/>
      <c r="D113" s="22"/>
      <c r="E113" s="23"/>
      <c r="F113" s="24"/>
      <c r="G113" s="19"/>
      <c r="H113" s="19"/>
      <c r="J113" s="20"/>
      <c r="K113" s="19"/>
      <c r="L113" s="23"/>
      <c r="M113" s="20"/>
      <c r="N113" s="19"/>
      <c r="O113" s="23"/>
    </row>
    <row r="114" spans="1:15">
      <c r="A114" s="19">
        <v>10</v>
      </c>
      <c r="B114" s="20"/>
      <c r="C114" s="21"/>
      <c r="D114" s="22"/>
      <c r="E114" s="23"/>
      <c r="F114" s="24"/>
      <c r="G114" s="19"/>
      <c r="H114" s="19"/>
      <c r="J114" s="20"/>
      <c r="K114" s="19"/>
      <c r="L114" s="23"/>
      <c r="M114" s="20"/>
      <c r="N114" s="19"/>
      <c r="O114" s="23"/>
    </row>
    <row r="115" spans="1:15">
      <c r="A115" s="19">
        <v>11</v>
      </c>
      <c r="B115" s="20"/>
      <c r="C115" s="21"/>
      <c r="D115" s="22"/>
      <c r="E115" s="23"/>
      <c r="F115" s="24"/>
      <c r="G115" s="19"/>
      <c r="H115" s="19"/>
      <c r="J115" s="20"/>
      <c r="K115" s="19"/>
      <c r="L115" s="23"/>
      <c r="M115" s="20"/>
      <c r="N115" s="19"/>
      <c r="O115" s="23"/>
    </row>
    <row r="116" ht="30" customHeight="1" spans="1:15">
      <c r="A116" s="12" t="s">
        <v>85</v>
      </c>
      <c r="B116" s="13"/>
      <c r="C116" s="14"/>
      <c r="D116" s="15">
        <f t="shared" ref="D116:H116" si="12">SUM(D117:D127)</f>
        <v>0</v>
      </c>
      <c r="E116" s="16">
        <f t="shared" si="12"/>
        <v>0</v>
      </c>
      <c r="F116" s="14"/>
      <c r="G116" s="14"/>
      <c r="H116" s="16">
        <f t="shared" si="12"/>
        <v>0</v>
      </c>
      <c r="J116" s="14"/>
      <c r="K116" s="14"/>
      <c r="L116" s="16">
        <f>SUM(L117:L127)</f>
        <v>0</v>
      </c>
      <c r="M116" s="14"/>
      <c r="N116" s="14"/>
      <c r="O116" s="16"/>
    </row>
    <row r="117" spans="1:15">
      <c r="A117" s="19">
        <v>1</v>
      </c>
      <c r="B117" s="20"/>
      <c r="C117" s="21"/>
      <c r="D117" s="22"/>
      <c r="E117" s="23"/>
      <c r="F117" s="24"/>
      <c r="G117" s="19"/>
      <c r="H117" s="19"/>
      <c r="J117" s="40"/>
      <c r="K117" s="19"/>
      <c r="L117" s="23"/>
      <c r="M117" s="40"/>
      <c r="N117" s="19"/>
      <c r="O117" s="23"/>
    </row>
    <row r="118" spans="1:15">
      <c r="A118" s="19">
        <v>2</v>
      </c>
      <c r="B118" s="20"/>
      <c r="C118" s="21"/>
      <c r="D118" s="22"/>
      <c r="E118" s="23"/>
      <c r="F118" s="19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3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4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5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6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7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8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spans="1:15">
      <c r="A125" s="19">
        <v>9</v>
      </c>
      <c r="B125" s="20"/>
      <c r="C125" s="21"/>
      <c r="D125" s="22"/>
      <c r="E125" s="23"/>
      <c r="F125" s="24"/>
      <c r="G125" s="19"/>
      <c r="H125" s="19"/>
      <c r="J125" s="20"/>
      <c r="K125" s="19"/>
      <c r="L125" s="23"/>
      <c r="M125" s="20"/>
      <c r="N125" s="19"/>
      <c r="O125" s="23"/>
    </row>
    <row r="126" spans="1:15">
      <c r="A126" s="19">
        <v>10</v>
      </c>
      <c r="B126" s="20"/>
      <c r="C126" s="21"/>
      <c r="D126" s="22"/>
      <c r="E126" s="23"/>
      <c r="F126" s="24"/>
      <c r="G126" s="19"/>
      <c r="H126" s="19"/>
      <c r="J126" s="20"/>
      <c r="K126" s="19"/>
      <c r="L126" s="23"/>
      <c r="M126" s="20"/>
      <c r="N126" s="19"/>
      <c r="O126" s="23"/>
    </row>
    <row r="127" spans="1:15">
      <c r="A127" s="19">
        <v>11</v>
      </c>
      <c r="B127" s="20"/>
      <c r="C127" s="21"/>
      <c r="D127" s="22"/>
      <c r="E127" s="23"/>
      <c r="F127" s="24"/>
      <c r="G127" s="19"/>
      <c r="H127" s="19"/>
      <c r="J127" s="20"/>
      <c r="K127" s="19"/>
      <c r="L127" s="23"/>
      <c r="M127" s="20"/>
      <c r="N127" s="19"/>
      <c r="O127" s="23"/>
    </row>
    <row r="128" ht="30" customHeight="1" spans="1:15">
      <c r="A128" s="12" t="s">
        <v>86</v>
      </c>
      <c r="B128" s="13"/>
      <c r="C128" s="14"/>
      <c r="D128" s="15">
        <f t="shared" ref="D128:H128" si="13">SUM(D129:D139)</f>
        <v>0</v>
      </c>
      <c r="E128" s="16">
        <f t="shared" si="13"/>
        <v>0</v>
      </c>
      <c r="F128" s="14"/>
      <c r="G128" s="14"/>
      <c r="H128" s="16">
        <f t="shared" si="13"/>
        <v>0</v>
      </c>
      <c r="J128" s="14"/>
      <c r="K128" s="14"/>
      <c r="L128" s="16">
        <f>SUM(L129:L139)</f>
        <v>0</v>
      </c>
      <c r="M128" s="14"/>
      <c r="N128" s="14"/>
      <c r="O128" s="16"/>
    </row>
    <row r="129" spans="1:15">
      <c r="A129" s="19">
        <v>1</v>
      </c>
      <c r="B129" s="20"/>
      <c r="C129" s="21"/>
      <c r="D129" s="22"/>
      <c r="E129" s="23"/>
      <c r="F129" s="24"/>
      <c r="G129" s="19"/>
      <c r="H129" s="19"/>
      <c r="J129" s="40"/>
      <c r="K129" s="19"/>
      <c r="L129" s="23"/>
      <c r="M129" s="40"/>
      <c r="N129" s="19"/>
      <c r="O129" s="23"/>
    </row>
    <row r="130" spans="1:15">
      <c r="A130" s="19">
        <v>2</v>
      </c>
      <c r="B130" s="20"/>
      <c r="C130" s="21"/>
      <c r="D130" s="22"/>
      <c r="E130" s="23"/>
      <c r="F130" s="19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3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4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5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6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7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8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spans="1:15">
      <c r="A137" s="19">
        <v>9</v>
      </c>
      <c r="B137" s="20"/>
      <c r="C137" s="21"/>
      <c r="D137" s="22"/>
      <c r="E137" s="23"/>
      <c r="F137" s="24"/>
      <c r="G137" s="19"/>
      <c r="H137" s="19"/>
      <c r="J137" s="20"/>
      <c r="K137" s="19"/>
      <c r="L137" s="23"/>
      <c r="M137" s="20"/>
      <c r="N137" s="19"/>
      <c r="O137" s="23"/>
    </row>
    <row r="138" spans="1:15">
      <c r="A138" s="19">
        <v>10</v>
      </c>
      <c r="B138" s="20"/>
      <c r="C138" s="21"/>
      <c r="D138" s="22"/>
      <c r="E138" s="23"/>
      <c r="F138" s="24"/>
      <c r="G138" s="19"/>
      <c r="H138" s="19"/>
      <c r="J138" s="20"/>
      <c r="K138" s="19"/>
      <c r="L138" s="23"/>
      <c r="M138" s="20"/>
      <c r="N138" s="19"/>
      <c r="O138" s="23"/>
    </row>
    <row r="139" spans="1:15">
      <c r="A139" s="19">
        <v>11</v>
      </c>
      <c r="B139" s="20"/>
      <c r="C139" s="21"/>
      <c r="D139" s="22"/>
      <c r="E139" s="23"/>
      <c r="F139" s="24"/>
      <c r="G139" s="19"/>
      <c r="H139" s="19"/>
      <c r="J139" s="20"/>
      <c r="K139" s="19"/>
      <c r="L139" s="23"/>
      <c r="M139" s="20"/>
      <c r="N139" s="19"/>
      <c r="O139" s="23"/>
    </row>
    <row r="140" ht="30" customHeight="1" spans="1:15">
      <c r="A140" s="12" t="s">
        <v>87</v>
      </c>
      <c r="B140" s="13"/>
      <c r="C140" s="14"/>
      <c r="D140" s="15">
        <f t="shared" ref="D140:H140" si="14">SUM(D141:D151)</f>
        <v>0</v>
      </c>
      <c r="E140" s="16">
        <f t="shared" si="14"/>
        <v>0</v>
      </c>
      <c r="F140" s="14"/>
      <c r="G140" s="14"/>
      <c r="H140" s="16">
        <f t="shared" si="14"/>
        <v>0</v>
      </c>
      <c r="J140" s="14"/>
      <c r="K140" s="14"/>
      <c r="L140" s="16">
        <f>SUM(L141:L151)</f>
        <v>0</v>
      </c>
      <c r="M140" s="14"/>
      <c r="N140" s="14"/>
      <c r="O140" s="16"/>
    </row>
    <row r="141" spans="1:15">
      <c r="A141" s="19">
        <v>1</v>
      </c>
      <c r="B141" s="20"/>
      <c r="C141" s="21"/>
      <c r="D141" s="22"/>
      <c r="E141" s="23"/>
      <c r="F141" s="24"/>
      <c r="G141" s="19"/>
      <c r="H141" s="19"/>
      <c r="J141" s="40"/>
      <c r="K141" s="19"/>
      <c r="L141" s="23"/>
      <c r="M141" s="40"/>
      <c r="N141" s="19"/>
      <c r="O141" s="23"/>
    </row>
    <row r="142" spans="1:15">
      <c r="A142" s="19">
        <v>2</v>
      </c>
      <c r="B142" s="20"/>
      <c r="C142" s="21"/>
      <c r="D142" s="22"/>
      <c r="E142" s="23"/>
      <c r="F142" s="19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3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4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5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6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7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8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  <row r="149" spans="1:15">
      <c r="A149" s="19">
        <v>9</v>
      </c>
      <c r="B149" s="20"/>
      <c r="C149" s="21"/>
      <c r="D149" s="22"/>
      <c r="E149" s="23"/>
      <c r="F149" s="24"/>
      <c r="G149" s="19"/>
      <c r="H149" s="19"/>
      <c r="J149" s="20"/>
      <c r="K149" s="19"/>
      <c r="L149" s="23"/>
      <c r="M149" s="20"/>
      <c r="N149" s="19"/>
      <c r="O149" s="23"/>
    </row>
    <row r="150" spans="1:15">
      <c r="A150" s="19">
        <v>10</v>
      </c>
      <c r="B150" s="20"/>
      <c r="C150" s="21"/>
      <c r="D150" s="22"/>
      <c r="E150" s="23"/>
      <c r="F150" s="24"/>
      <c r="G150" s="19"/>
      <c r="H150" s="19"/>
      <c r="J150" s="20"/>
      <c r="K150" s="19"/>
      <c r="L150" s="23"/>
      <c r="M150" s="20"/>
      <c r="N150" s="19"/>
      <c r="O150" s="23"/>
    </row>
    <row r="151" spans="1:15">
      <c r="A151" s="19">
        <v>11</v>
      </c>
      <c r="B151" s="20"/>
      <c r="C151" s="21"/>
      <c r="D151" s="22"/>
      <c r="E151" s="23"/>
      <c r="F151" s="24"/>
      <c r="G151" s="19"/>
      <c r="H151" s="19"/>
      <c r="J151" s="20"/>
      <c r="K151" s="19"/>
      <c r="L151" s="23"/>
      <c r="M151" s="20"/>
      <c r="N151" s="19"/>
      <c r="O151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F16 F45 F55 F67 F79 F91 F103 F115 F127 F139 F151 F42:F43">
      <formula1>"小猪,蚂蚁,BNB,途家,闲鱼"</formula1>
    </dataValidation>
    <dataValidation type="list" allowBlank="1" showInputMessage="1" showErrorMessage="1" sqref="G18 N21 G25 G28 G45 G55 G69 G6:G16 G41:G43 G50:G53 G58:G67 G71:G79 G81:G91 G93:G103 G105:G115 G117:G127 G129:G139 G141:G151 N8:N16 N25:N28 N30:N43 N45:N55 N57:N67 N69:N79 N81:N91 N93:N103 N105:N115 N117:N127 N129:N139 N141:N151">
      <formula1>"王,娟,敏,蕾,佩,松"</formula1>
    </dataValidation>
    <dataValidation type="list" allowBlank="1" showInputMessage="1" sqref="F20 F30 F70 F22:F24 F26:F27 F47:F49">
      <formula1>"小猪,蚂蚁,BNB,途家,闲鱼"</formula1>
    </dataValidation>
    <dataValidation type="list" allowBlank="1" showInputMessage="1" sqref="F21 F25 F28 F41 F69 F6:F15 F18:F19 F50:F53 F58:F66 F71:F78 F81:F90 F93:F102 F105:F114 F117:F126 F129:F138 F141:F150">
      <formula1>"小猪,蚂蚁,BNB,途家,闲鱼,线下"</formula1>
    </dataValidation>
    <dataValidation type="list" allowBlank="1" showInputMessage="1" showErrorMessage="1" sqref="F46 F54 F57 F31:F40">
      <formula1>"小猪,蚂蚁,BNB,途家,闲鱼,线下"</formula1>
    </dataValidation>
    <dataValidation type="list" allowBlank="1" showInputMessage="1" showErrorMessage="1" sqref="G54 G57 G70 G19:G24 G26:G27 G30:G40 G46:G49 M6:M7 M18:M24">
      <formula1>"王,娟,蕾,敏,佩,松"</formula1>
    </dataValidation>
    <dataValidation type="list" allowBlank="1" showInputMessage="1" showErrorMessage="1" sqref="K6:K16 K18:K28 K30:K43 K45:K55 K57:K67 K69:K79 K81:K91 K93:K103 K105:K115 K117:K127 K129:K139 K141:K151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5"/>
  </sheetPr>
  <dimension ref="A1:W148"/>
  <sheetViews>
    <sheetView zoomScale="85" zoomScaleNormal="85" workbookViewId="0">
      <pane xSplit="1" ySplit="4" topLeftCell="B39" activePane="bottomRight" state="frozen"/>
      <selection/>
      <selection pane="topRight"/>
      <selection pane="bottomLeft"/>
      <selection pane="bottomRight" activeCell="B50" sqref="B50"/>
    </sheetView>
  </sheetViews>
  <sheetFormatPr defaultColWidth="9" defaultRowHeight="15"/>
  <cols>
    <col min="1" max="1" width="6" style="2" customWidth="1"/>
    <col min="2" max="2" width="10" style="2" customWidth="1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2.125" customWidth="1"/>
    <col min="17" max="17" width="5.625"/>
    <col min="18" max="18" width="6.375"/>
    <col min="19" max="19" width="5.625"/>
    <col min="20" max="20" width="7.41666666666667" customWidth="1"/>
    <col min="21" max="21" width="5.625"/>
    <col min="22" max="22" width="7.375"/>
    <col min="23" max="23" width="5.625"/>
  </cols>
  <sheetData>
    <row r="1" s="4" customFormat="1" ht="39" customHeight="1" spans="1:23">
      <c r="A1" s="6" t="s">
        <v>256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25</v>
      </c>
      <c r="E5" s="16">
        <f t="shared" si="0"/>
        <v>3935.4</v>
      </c>
      <c r="F5" s="14"/>
      <c r="G5" s="17"/>
      <c r="H5" s="18">
        <f t="shared" si="0"/>
        <v>196.8</v>
      </c>
      <c r="J5" s="14"/>
      <c r="K5" s="14"/>
      <c r="L5" s="16">
        <f>SUM(L6:L16)</f>
        <v>609.9</v>
      </c>
      <c r="M5" s="14"/>
      <c r="N5" s="14"/>
      <c r="O5" s="16">
        <f>E5-H5-L5</f>
        <v>3128.7</v>
      </c>
      <c r="Q5" s="48"/>
      <c r="R5" s="48">
        <f>SUM(R6:R11)</f>
        <v>196.8</v>
      </c>
      <c r="S5" s="48"/>
      <c r="T5" s="49">
        <f>SUM(T6:T11)</f>
        <v>609.9</v>
      </c>
      <c r="U5" s="48"/>
      <c r="V5" s="48"/>
      <c r="W5" s="50"/>
    </row>
    <row r="6" spans="1:23">
      <c r="A6" s="19">
        <v>1</v>
      </c>
      <c r="B6" s="20">
        <v>43101</v>
      </c>
      <c r="C6" s="21" t="s">
        <v>257</v>
      </c>
      <c r="D6" s="22">
        <v>3</v>
      </c>
      <c r="E6" s="23">
        <v>405</v>
      </c>
      <c r="F6" s="24" t="s">
        <v>24</v>
      </c>
      <c r="G6" s="19" t="s">
        <v>25</v>
      </c>
      <c r="H6" s="25">
        <f t="shared" ref="H6:H13" si="1">ROUND(E6*0.05,1)</f>
        <v>20.3</v>
      </c>
      <c r="J6" s="40">
        <v>43101</v>
      </c>
      <c r="K6" s="19" t="s">
        <v>33</v>
      </c>
      <c r="L6" s="23">
        <v>29.9</v>
      </c>
      <c r="M6" s="19" t="s">
        <v>32</v>
      </c>
      <c r="N6" s="41" t="s">
        <v>258</v>
      </c>
      <c r="O6" s="23"/>
      <c r="Q6" s="48" t="s">
        <v>27</v>
      </c>
      <c r="R6" s="48">
        <f>SUMIF(G6:G16,Q6,H6:H16)</f>
        <v>0</v>
      </c>
      <c r="S6" s="48" t="s">
        <v>26</v>
      </c>
      <c r="T6" s="48">
        <f>SUMIF(K6:K16,S6,L6:L16)</f>
        <v>400</v>
      </c>
      <c r="U6" s="48" t="s">
        <v>28</v>
      </c>
      <c r="V6" s="48">
        <f>O5</f>
        <v>3128.7</v>
      </c>
      <c r="W6" s="50"/>
    </row>
    <row r="7" spans="1:23">
      <c r="A7" s="19">
        <v>2</v>
      </c>
      <c r="B7" s="20">
        <v>43104</v>
      </c>
      <c r="C7" s="21">
        <v>1.4</v>
      </c>
      <c r="D7" s="22">
        <v>1</v>
      </c>
      <c r="E7" s="23">
        <v>150</v>
      </c>
      <c r="F7" s="24" t="s">
        <v>37</v>
      </c>
      <c r="G7" s="19" t="s">
        <v>25</v>
      </c>
      <c r="H7" s="25">
        <f t="shared" si="1"/>
        <v>7.5</v>
      </c>
      <c r="J7" s="20">
        <v>43102</v>
      </c>
      <c r="K7" s="19" t="s">
        <v>26</v>
      </c>
      <c r="L7" s="23">
        <v>70</v>
      </c>
      <c r="M7" s="19" t="s">
        <v>25</v>
      </c>
      <c r="N7" s="41">
        <v>1.4</v>
      </c>
      <c r="O7" s="23"/>
      <c r="Q7" s="48" t="s">
        <v>25</v>
      </c>
      <c r="R7" s="48">
        <f>SUMIF(G6:G16,Q7,H6:H16)</f>
        <v>179.8</v>
      </c>
      <c r="S7" s="48" t="s">
        <v>29</v>
      </c>
      <c r="T7" s="48">
        <f>SUMIF(K6:K16,S7,L6:L16)</f>
        <v>180</v>
      </c>
      <c r="U7" s="48" t="s">
        <v>259</v>
      </c>
      <c r="V7" s="48">
        <f>ROUND(V6*W7,1)</f>
        <v>3128.7</v>
      </c>
      <c r="W7" s="51">
        <v>1</v>
      </c>
    </row>
    <row r="8" spans="1:23">
      <c r="A8" s="19">
        <v>3</v>
      </c>
      <c r="B8" s="20">
        <v>43109</v>
      </c>
      <c r="C8" s="21" t="s">
        <v>260</v>
      </c>
      <c r="D8" s="22">
        <v>6</v>
      </c>
      <c r="E8" s="23">
        <v>840</v>
      </c>
      <c r="F8" s="24" t="s">
        <v>37</v>
      </c>
      <c r="G8" s="19" t="s">
        <v>25</v>
      </c>
      <c r="H8" s="25">
        <f t="shared" si="1"/>
        <v>42</v>
      </c>
      <c r="J8" s="20">
        <v>43110</v>
      </c>
      <c r="K8" s="19" t="s">
        <v>29</v>
      </c>
      <c r="L8" s="23">
        <v>180</v>
      </c>
      <c r="M8" s="19" t="s">
        <v>32</v>
      </c>
      <c r="N8" s="41" t="s">
        <v>148</v>
      </c>
      <c r="O8" s="23"/>
      <c r="Q8" s="48" t="s">
        <v>32</v>
      </c>
      <c r="R8" s="48">
        <f>SUMIF(G6:G16,Q8,H6:H16)</f>
        <v>17</v>
      </c>
      <c r="S8" s="48" t="s">
        <v>33</v>
      </c>
      <c r="T8" s="48">
        <f>SUMIF(K6:K16,S8,L6:L16)</f>
        <v>29.9</v>
      </c>
      <c r="U8" s="48"/>
      <c r="V8" s="52"/>
      <c r="W8" s="51"/>
    </row>
    <row r="9" spans="1:23">
      <c r="A9" s="19">
        <v>4</v>
      </c>
      <c r="B9" s="20">
        <v>43106</v>
      </c>
      <c r="C9" s="21" t="s">
        <v>261</v>
      </c>
      <c r="D9" s="22">
        <v>6</v>
      </c>
      <c r="E9" s="23">
        <v>1015.2</v>
      </c>
      <c r="F9" s="26" t="s">
        <v>24</v>
      </c>
      <c r="G9" s="19" t="s">
        <v>25</v>
      </c>
      <c r="H9" s="25">
        <f t="shared" si="1"/>
        <v>50.8</v>
      </c>
      <c r="J9" s="20">
        <v>43113</v>
      </c>
      <c r="K9" s="19" t="s">
        <v>26</v>
      </c>
      <c r="L9" s="23">
        <v>50</v>
      </c>
      <c r="M9" s="19" t="s">
        <v>25</v>
      </c>
      <c r="N9" s="41">
        <v>1.15</v>
      </c>
      <c r="O9" s="23"/>
      <c r="Q9" s="48" t="s">
        <v>35</v>
      </c>
      <c r="R9" s="48">
        <f>SUMIF(G6:G16,Q9,H6:H16)</f>
        <v>0</v>
      </c>
      <c r="S9" s="48" t="s">
        <v>36</v>
      </c>
      <c r="T9" s="48">
        <f>SUMIF(K6:K16,S9,L6:L16)</f>
        <v>0</v>
      </c>
      <c r="U9" s="48"/>
      <c r="V9" s="52"/>
      <c r="W9" s="51"/>
    </row>
    <row r="10" spans="1:23">
      <c r="A10" s="19">
        <v>5</v>
      </c>
      <c r="B10" s="20">
        <v>43101</v>
      </c>
      <c r="C10" s="21" t="s">
        <v>262</v>
      </c>
      <c r="D10" s="22">
        <v>3</v>
      </c>
      <c r="E10" s="23">
        <v>507.6</v>
      </c>
      <c r="F10" s="24" t="s">
        <v>24</v>
      </c>
      <c r="G10" s="19" t="s">
        <v>25</v>
      </c>
      <c r="H10" s="25">
        <f t="shared" si="1"/>
        <v>25.4</v>
      </c>
      <c r="J10" s="20">
        <v>43120</v>
      </c>
      <c r="K10" s="19" t="s">
        <v>26</v>
      </c>
      <c r="L10" s="23">
        <v>70</v>
      </c>
      <c r="M10" s="19" t="s">
        <v>25</v>
      </c>
      <c r="N10" s="41">
        <v>1.21</v>
      </c>
      <c r="O10" s="23"/>
      <c r="Q10" s="48" t="s">
        <v>30</v>
      </c>
      <c r="R10" s="48">
        <f>SUMIF(G6:G16,Q10,H6:H16)</f>
        <v>0</v>
      </c>
      <c r="S10" s="48" t="s">
        <v>38</v>
      </c>
      <c r="T10" s="48">
        <f>SUMIF(K6:K16,S10,L6:L16)</f>
        <v>0</v>
      </c>
      <c r="U10" s="48"/>
      <c r="V10" s="52"/>
      <c r="W10" s="51"/>
    </row>
    <row r="11" spans="1:23">
      <c r="A11" s="19">
        <v>6</v>
      </c>
      <c r="B11" s="20">
        <v>43124</v>
      </c>
      <c r="C11" s="21" t="s">
        <v>44</v>
      </c>
      <c r="D11" s="22">
        <v>2</v>
      </c>
      <c r="E11" s="23">
        <v>338.4</v>
      </c>
      <c r="F11" s="24" t="s">
        <v>37</v>
      </c>
      <c r="G11" s="19" t="s">
        <v>25</v>
      </c>
      <c r="H11" s="25">
        <f t="shared" si="1"/>
        <v>16.9</v>
      </c>
      <c r="J11" s="20">
        <v>43122</v>
      </c>
      <c r="K11" s="19" t="s">
        <v>26</v>
      </c>
      <c r="L11" s="23">
        <v>70</v>
      </c>
      <c r="M11" s="19" t="s">
        <v>25</v>
      </c>
      <c r="N11" s="41">
        <v>1.24</v>
      </c>
      <c r="O11" s="23"/>
      <c r="Q11" s="48" t="s">
        <v>39</v>
      </c>
      <c r="R11" s="48">
        <f>SUMIF(G6:G16,Q11,H6:H16)</f>
        <v>0</v>
      </c>
      <c r="S11" s="48" t="s">
        <v>40</v>
      </c>
      <c r="T11" s="48">
        <f>SUMIF(K6:K16,S11,L6:L16)</f>
        <v>0</v>
      </c>
      <c r="U11" s="48"/>
      <c r="V11" s="48"/>
      <c r="W11" s="50"/>
    </row>
    <row r="12" spans="1:15">
      <c r="A12" s="19">
        <v>7</v>
      </c>
      <c r="B12" s="20">
        <v>43126</v>
      </c>
      <c r="C12" s="21" t="s">
        <v>263</v>
      </c>
      <c r="D12" s="22">
        <v>2</v>
      </c>
      <c r="E12" s="23">
        <v>338.4</v>
      </c>
      <c r="F12" s="26" t="s">
        <v>46</v>
      </c>
      <c r="G12" s="19" t="s">
        <v>25</v>
      </c>
      <c r="H12" s="25">
        <f t="shared" si="1"/>
        <v>16.9</v>
      </c>
      <c r="J12" s="20">
        <v>43126</v>
      </c>
      <c r="K12" s="19" t="s">
        <v>26</v>
      </c>
      <c r="L12" s="23">
        <v>70</v>
      </c>
      <c r="M12" s="19" t="s">
        <v>25</v>
      </c>
      <c r="N12" s="41">
        <v>1.27</v>
      </c>
      <c r="O12" s="23"/>
    </row>
    <row r="13" spans="1:15">
      <c r="A13" s="19">
        <v>8</v>
      </c>
      <c r="B13" s="20">
        <v>43127</v>
      </c>
      <c r="C13" s="21" t="s">
        <v>264</v>
      </c>
      <c r="D13" s="22">
        <v>2</v>
      </c>
      <c r="E13" s="23">
        <f>ROUND(852.02/5*2,1)</f>
        <v>340.8</v>
      </c>
      <c r="F13" s="24" t="s">
        <v>43</v>
      </c>
      <c r="G13" s="19" t="s">
        <v>32</v>
      </c>
      <c r="H13" s="25">
        <f t="shared" si="1"/>
        <v>17</v>
      </c>
      <c r="J13" s="20">
        <v>43131</v>
      </c>
      <c r="K13" s="19" t="s">
        <v>26</v>
      </c>
      <c r="L13" s="23">
        <v>70</v>
      </c>
      <c r="M13" s="19" t="s">
        <v>25</v>
      </c>
      <c r="N13" s="41">
        <v>2.4</v>
      </c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2"/>
      <c r="J14" s="20"/>
      <c r="K14" s="19"/>
      <c r="L14" s="23"/>
      <c r="M14" s="19"/>
      <c r="N14" s="41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25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19"/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13"/>
      <c r="C17" s="14"/>
      <c r="D17" s="15">
        <f t="shared" ref="D17:H17" si="2">SUM(D18:D28)</f>
        <v>20</v>
      </c>
      <c r="E17" s="16">
        <f t="shared" si="2"/>
        <v>5391.2</v>
      </c>
      <c r="F17" s="14"/>
      <c r="G17" s="14"/>
      <c r="H17" s="16">
        <f t="shared" si="2"/>
        <v>269.6</v>
      </c>
      <c r="J17" s="14"/>
      <c r="K17" s="14"/>
      <c r="L17" s="16">
        <f>SUM(L18:L28)</f>
        <v>504.9</v>
      </c>
      <c r="M17" s="14"/>
      <c r="N17" s="14"/>
      <c r="O17" s="16">
        <f>E17-H17-L17</f>
        <v>4616.7</v>
      </c>
      <c r="Q17" s="48"/>
      <c r="R17" s="48">
        <f>SUM(R18:R23)</f>
        <v>269.6</v>
      </c>
      <c r="S17" s="48"/>
      <c r="T17" s="49">
        <f>SUM(T18:T23)</f>
        <v>504.9</v>
      </c>
      <c r="U17" s="48"/>
      <c r="V17" s="48"/>
      <c r="W17" s="50"/>
    </row>
    <row r="18" spans="1:23">
      <c r="A18" s="19">
        <v>1</v>
      </c>
      <c r="B18" s="20">
        <v>43127</v>
      </c>
      <c r="C18" s="21" t="s">
        <v>201</v>
      </c>
      <c r="D18" s="22">
        <v>3</v>
      </c>
      <c r="E18" s="23">
        <f>ROUND(852.02/5*3,1)</f>
        <v>511.2</v>
      </c>
      <c r="F18" s="24" t="s">
        <v>43</v>
      </c>
      <c r="G18" s="19" t="s">
        <v>32</v>
      </c>
      <c r="H18" s="25">
        <f t="shared" ref="H18:H23" si="3">ROUND(E18*0.05,1)</f>
        <v>25.6</v>
      </c>
      <c r="J18" s="40">
        <v>43140</v>
      </c>
      <c r="K18" s="19" t="s">
        <v>26</v>
      </c>
      <c r="L18" s="23">
        <v>105</v>
      </c>
      <c r="M18" s="19" t="s">
        <v>25</v>
      </c>
      <c r="N18" s="42">
        <v>2.1</v>
      </c>
      <c r="O18" s="23"/>
      <c r="Q18" s="48" t="s">
        <v>27</v>
      </c>
      <c r="R18" s="48">
        <f>SUMIF(G18:G28,Q18,H18:H28)</f>
        <v>0</v>
      </c>
      <c r="S18" s="48" t="s">
        <v>26</v>
      </c>
      <c r="T18" s="48">
        <f>SUMIF(K18:K28,S18,L18:L28)</f>
        <v>490</v>
      </c>
      <c r="U18" s="48" t="s">
        <v>28</v>
      </c>
      <c r="V18" s="48">
        <f>O17</f>
        <v>4616.7</v>
      </c>
      <c r="W18" s="50"/>
    </row>
    <row r="19" spans="1:23">
      <c r="A19" s="19">
        <v>2</v>
      </c>
      <c r="B19" s="20">
        <v>43140</v>
      </c>
      <c r="C19" s="21">
        <v>2.9</v>
      </c>
      <c r="D19" s="22">
        <v>1</v>
      </c>
      <c r="E19" s="23">
        <v>196.2</v>
      </c>
      <c r="F19" s="24" t="s">
        <v>46</v>
      </c>
      <c r="G19" s="19" t="s">
        <v>25</v>
      </c>
      <c r="H19" s="25">
        <f t="shared" si="3"/>
        <v>9.8</v>
      </c>
      <c r="J19" s="20">
        <v>43148</v>
      </c>
      <c r="K19" s="19" t="s">
        <v>26</v>
      </c>
      <c r="L19" s="23">
        <v>140</v>
      </c>
      <c r="M19" s="19" t="s">
        <v>25</v>
      </c>
      <c r="N19" s="41">
        <v>2.17</v>
      </c>
      <c r="O19" s="23"/>
      <c r="Q19" s="48" t="s">
        <v>25</v>
      </c>
      <c r="R19" s="48">
        <f>SUMIF(G18:G28,Q19,H18:H28)</f>
        <v>79.7</v>
      </c>
      <c r="S19" s="48" t="s">
        <v>29</v>
      </c>
      <c r="T19" s="48">
        <f>SUMIF(K18:K28,S19,L18:L28)</f>
        <v>0</v>
      </c>
      <c r="U19" s="48" t="s">
        <v>259</v>
      </c>
      <c r="V19" s="48">
        <f>ROUND(V18*W19,1)</f>
        <v>4616.7</v>
      </c>
      <c r="W19" s="51">
        <v>1</v>
      </c>
    </row>
    <row r="20" spans="1:23">
      <c r="A20" s="19">
        <v>3</v>
      </c>
      <c r="B20" s="20">
        <v>43139</v>
      </c>
      <c r="C20" s="21" t="s">
        <v>265</v>
      </c>
      <c r="D20" s="22">
        <v>5</v>
      </c>
      <c r="E20" s="23">
        <v>1340</v>
      </c>
      <c r="F20" s="27" t="s">
        <v>37</v>
      </c>
      <c r="G20" s="19" t="s">
        <v>30</v>
      </c>
      <c r="H20" s="25">
        <f t="shared" si="3"/>
        <v>67</v>
      </c>
      <c r="J20" s="20">
        <v>43151</v>
      </c>
      <c r="K20" s="19" t="s">
        <v>26</v>
      </c>
      <c r="L20" s="23">
        <v>105</v>
      </c>
      <c r="M20" s="19" t="s">
        <v>25</v>
      </c>
      <c r="N20" s="41">
        <v>2.24</v>
      </c>
      <c r="O20" s="23"/>
      <c r="Q20" s="48" t="s">
        <v>32</v>
      </c>
      <c r="R20" s="48">
        <f>SUMIF(G18:G28,Q20,H18:H28)</f>
        <v>122.9</v>
      </c>
      <c r="S20" s="48" t="s">
        <v>33</v>
      </c>
      <c r="T20" s="48">
        <f>SUMIF(K18:K28,S20,L18:L28)</f>
        <v>4.9</v>
      </c>
      <c r="U20" s="48"/>
      <c r="V20" s="52"/>
      <c r="W20" s="51"/>
    </row>
    <row r="21" spans="1:23">
      <c r="A21" s="19">
        <v>4</v>
      </c>
      <c r="B21" s="20">
        <v>43134</v>
      </c>
      <c r="C21" s="21" t="s">
        <v>266</v>
      </c>
      <c r="D21" s="22">
        <v>4</v>
      </c>
      <c r="E21" s="23">
        <v>1946.1</v>
      </c>
      <c r="F21" s="24" t="s">
        <v>43</v>
      </c>
      <c r="G21" s="19" t="s">
        <v>32</v>
      </c>
      <c r="H21" s="25">
        <f t="shared" si="3"/>
        <v>97.3</v>
      </c>
      <c r="J21" s="20">
        <v>43152</v>
      </c>
      <c r="K21" s="19" t="s">
        <v>33</v>
      </c>
      <c r="L21" s="23">
        <v>4.9</v>
      </c>
      <c r="M21" s="19" t="s">
        <v>25</v>
      </c>
      <c r="N21" s="41" t="s">
        <v>95</v>
      </c>
      <c r="O21" s="23"/>
      <c r="Q21" s="48" t="s">
        <v>35</v>
      </c>
      <c r="R21" s="48">
        <f>SUMIF(G18:G28,Q21,H18:H28)</f>
        <v>0</v>
      </c>
      <c r="S21" s="48" t="s">
        <v>36</v>
      </c>
      <c r="T21" s="48">
        <f>SUMIF(K18:K28,S21,L18:L28)</f>
        <v>10</v>
      </c>
      <c r="U21" s="48"/>
      <c r="V21" s="52"/>
      <c r="W21" s="51"/>
    </row>
    <row r="22" spans="1:23">
      <c r="A22" s="19">
        <v>5</v>
      </c>
      <c r="B22" s="20">
        <v>43127</v>
      </c>
      <c r="C22" s="21" t="s">
        <v>267</v>
      </c>
      <c r="D22" s="22">
        <v>3</v>
      </c>
      <c r="E22" s="23">
        <v>537.3</v>
      </c>
      <c r="F22" s="24" t="s">
        <v>46</v>
      </c>
      <c r="G22" s="19" t="s">
        <v>25</v>
      </c>
      <c r="H22" s="25">
        <f t="shared" si="3"/>
        <v>26.9</v>
      </c>
      <c r="J22" s="20">
        <v>43152</v>
      </c>
      <c r="K22" s="19" t="s">
        <v>26</v>
      </c>
      <c r="L22" s="23">
        <v>140</v>
      </c>
      <c r="M22" s="19" t="s">
        <v>25</v>
      </c>
      <c r="N22" s="41"/>
      <c r="O22" s="23"/>
      <c r="Q22" s="48" t="s">
        <v>30</v>
      </c>
      <c r="R22" s="48">
        <f>SUMIF(G18:G28,Q22,H18:H28)</f>
        <v>67</v>
      </c>
      <c r="S22" s="48" t="s">
        <v>38</v>
      </c>
      <c r="T22" s="48">
        <f>SUMIF(K18:K28,S22,L18:L28)</f>
        <v>0</v>
      </c>
      <c r="U22" s="48"/>
      <c r="V22" s="52"/>
      <c r="W22" s="51"/>
    </row>
    <row r="23" spans="1:23">
      <c r="A23" s="19">
        <v>6</v>
      </c>
      <c r="B23" s="20">
        <v>43154</v>
      </c>
      <c r="C23" s="21" t="s">
        <v>205</v>
      </c>
      <c r="D23" s="22">
        <v>4</v>
      </c>
      <c r="E23" s="23">
        <v>860.4</v>
      </c>
      <c r="F23" s="27" t="s">
        <v>24</v>
      </c>
      <c r="G23" s="19" t="s">
        <v>25</v>
      </c>
      <c r="H23" s="25">
        <f t="shared" si="3"/>
        <v>43</v>
      </c>
      <c r="J23" s="20">
        <v>43155</v>
      </c>
      <c r="K23" s="19" t="s">
        <v>36</v>
      </c>
      <c r="L23" s="23">
        <v>10</v>
      </c>
      <c r="M23" s="19" t="s">
        <v>32</v>
      </c>
      <c r="N23" s="41" t="s">
        <v>268</v>
      </c>
      <c r="O23" s="23"/>
      <c r="Q23" s="48" t="s">
        <v>39</v>
      </c>
      <c r="R23" s="48">
        <f>SUMIF(G18:G28,Q23,H18:H28)</f>
        <v>0</v>
      </c>
      <c r="S23" s="48" t="s">
        <v>40</v>
      </c>
      <c r="T23" s="48">
        <f>SUMIF(K18:K28,S23,L18:L28)</f>
        <v>0</v>
      </c>
      <c r="U23" s="48"/>
      <c r="V23" s="48"/>
      <c r="W23" s="50"/>
    </row>
    <row r="24" spans="1:15">
      <c r="A24" s="19">
        <v>7</v>
      </c>
      <c r="B24" s="20"/>
      <c r="C24" s="21"/>
      <c r="D24" s="22"/>
      <c r="E24" s="23"/>
      <c r="F24" s="24"/>
      <c r="G24" s="19"/>
      <c r="H24" s="19"/>
      <c r="J24" s="20"/>
      <c r="K24" s="19"/>
      <c r="L24" s="23"/>
      <c r="M24" s="20"/>
      <c r="N24" s="19"/>
      <c r="O24" s="23"/>
    </row>
    <row r="25" spans="1:15">
      <c r="A25" s="19">
        <v>8</v>
      </c>
      <c r="B25" s="20"/>
      <c r="C25" s="21"/>
      <c r="D25" s="22"/>
      <c r="E25" s="23"/>
      <c r="F25" s="24"/>
      <c r="G25" s="19"/>
      <c r="H25" s="19"/>
      <c r="J25" s="20"/>
      <c r="K25" s="19"/>
      <c r="L25" s="23"/>
      <c r="M25" s="20"/>
      <c r="N25" s="19"/>
      <c r="O25" s="23"/>
    </row>
    <row r="26" spans="1:15">
      <c r="A26" s="19">
        <v>9</v>
      </c>
      <c r="B26" s="20"/>
      <c r="C26" s="21"/>
      <c r="D26" s="22"/>
      <c r="E26" s="23"/>
      <c r="F26" s="24"/>
      <c r="G26" s="19"/>
      <c r="H26" s="25"/>
      <c r="J26" s="20"/>
      <c r="K26" s="19"/>
      <c r="L26" s="23"/>
      <c r="M26" s="20"/>
      <c r="N26" s="19"/>
      <c r="O26" s="23"/>
    </row>
    <row r="27" spans="1:15">
      <c r="A27" s="19">
        <v>10</v>
      </c>
      <c r="B27" s="20"/>
      <c r="C27" s="21"/>
      <c r="D27" s="22"/>
      <c r="E27" s="23"/>
      <c r="F27" s="24"/>
      <c r="G27" s="19"/>
      <c r="H27" s="19"/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1"/>
      <c r="D28" s="22"/>
      <c r="E28" s="23"/>
      <c r="F28" s="24"/>
      <c r="G28" s="19"/>
      <c r="H28" s="19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4">SUM(D30:D40)</f>
        <v>19</v>
      </c>
      <c r="E29" s="16">
        <f t="shared" si="4"/>
        <v>3369.6</v>
      </c>
      <c r="F29" s="14"/>
      <c r="G29" s="14"/>
      <c r="H29" s="16">
        <f t="shared" si="4"/>
        <v>168.7</v>
      </c>
      <c r="J29" s="14"/>
      <c r="K29" s="14"/>
      <c r="L29" s="16">
        <f>SUM(L30:L40)</f>
        <v>1331</v>
      </c>
      <c r="M29" s="14"/>
      <c r="N29" s="14"/>
      <c r="O29" s="16">
        <f>E29-H29-L29</f>
        <v>1869.9</v>
      </c>
      <c r="Q29" s="48"/>
      <c r="R29" s="48">
        <f>SUM(R30:R35)</f>
        <v>168.7</v>
      </c>
      <c r="S29" s="48"/>
      <c r="T29" s="49">
        <f>SUM(T30:T35)</f>
        <v>1331</v>
      </c>
      <c r="U29" s="48"/>
      <c r="V29" s="48"/>
      <c r="W29" s="50"/>
    </row>
    <row r="30" spans="1:23">
      <c r="A30" s="19">
        <v>1</v>
      </c>
      <c r="B30" s="20">
        <v>43162</v>
      </c>
      <c r="C30" s="21">
        <v>3.3</v>
      </c>
      <c r="D30" s="22">
        <v>1</v>
      </c>
      <c r="E30" s="23">
        <v>215.1</v>
      </c>
      <c r="F30" s="24" t="s">
        <v>46</v>
      </c>
      <c r="G30" s="19" t="s">
        <v>25</v>
      </c>
      <c r="H30" s="25">
        <v>10.8</v>
      </c>
      <c r="J30" s="40">
        <v>43162</v>
      </c>
      <c r="K30" s="19" t="s">
        <v>26</v>
      </c>
      <c r="L30" s="23">
        <v>70</v>
      </c>
      <c r="M30" s="40" t="s">
        <v>32</v>
      </c>
      <c r="N30" s="19" t="s">
        <v>56</v>
      </c>
      <c r="O30" s="23"/>
      <c r="Q30" s="48" t="s">
        <v>27</v>
      </c>
      <c r="R30" s="48">
        <f>SUMIF(G30:G40,Q30,H30:H40)</f>
        <v>0</v>
      </c>
      <c r="S30" s="48" t="s">
        <v>26</v>
      </c>
      <c r="T30" s="48">
        <f>SUMIF(K30:K40,S30,L30:L40)</f>
        <v>560</v>
      </c>
      <c r="U30" s="48" t="s">
        <v>28</v>
      </c>
      <c r="V30" s="48">
        <f>O29</f>
        <v>1869.9</v>
      </c>
      <c r="W30" s="50"/>
    </row>
    <row r="31" spans="1:23">
      <c r="A31" s="19">
        <v>2</v>
      </c>
      <c r="B31" s="20">
        <v>43163</v>
      </c>
      <c r="C31" s="21">
        <v>3.4</v>
      </c>
      <c r="D31" s="22">
        <v>1</v>
      </c>
      <c r="E31" s="23">
        <v>179.1</v>
      </c>
      <c r="F31" s="24" t="s">
        <v>46</v>
      </c>
      <c r="G31" s="19" t="s">
        <v>25</v>
      </c>
      <c r="H31" s="25">
        <v>9</v>
      </c>
      <c r="J31" s="20">
        <v>43163</v>
      </c>
      <c r="K31" s="19" t="s">
        <v>26</v>
      </c>
      <c r="L31" s="23">
        <v>70</v>
      </c>
      <c r="M31" s="20" t="s">
        <v>32</v>
      </c>
      <c r="N31" s="19" t="s">
        <v>56</v>
      </c>
      <c r="O31" s="23"/>
      <c r="Q31" s="48" t="s">
        <v>25</v>
      </c>
      <c r="R31" s="48">
        <f>SUMIF(G30:G40,Q31,H30:H40)</f>
        <v>85.6</v>
      </c>
      <c r="S31" s="48" t="s">
        <v>29</v>
      </c>
      <c r="T31" s="48">
        <f>SUMIF(K30:K40,S31,L30:L40)</f>
        <v>771</v>
      </c>
      <c r="U31" s="48" t="s">
        <v>259</v>
      </c>
      <c r="V31" s="48">
        <f>ROUND(V30*W31,1)</f>
        <v>1869.9</v>
      </c>
      <c r="W31" s="51">
        <v>1</v>
      </c>
    </row>
    <row r="32" spans="1:23">
      <c r="A32" s="19">
        <v>3</v>
      </c>
      <c r="B32" s="20">
        <v>43170</v>
      </c>
      <c r="C32" s="21">
        <v>3.11</v>
      </c>
      <c r="D32" s="22">
        <v>1</v>
      </c>
      <c r="E32" s="23">
        <v>200</v>
      </c>
      <c r="F32" s="27" t="s">
        <v>37</v>
      </c>
      <c r="G32" s="19" t="s">
        <v>25</v>
      </c>
      <c r="H32" s="25">
        <v>10</v>
      </c>
      <c r="J32" s="20">
        <v>43164</v>
      </c>
      <c r="K32" s="19" t="s">
        <v>26</v>
      </c>
      <c r="L32" s="23">
        <v>70</v>
      </c>
      <c r="M32" s="20" t="s">
        <v>32</v>
      </c>
      <c r="N32" s="19" t="s">
        <v>56</v>
      </c>
      <c r="O32" s="23"/>
      <c r="Q32" s="48" t="s">
        <v>32</v>
      </c>
      <c r="R32" s="48">
        <f>SUMIF(G30:G40,Q32,H30:H40)</f>
        <v>83.1</v>
      </c>
      <c r="S32" s="48" t="s">
        <v>33</v>
      </c>
      <c r="T32" s="48">
        <f>SUMIF(K30:K40,S32,L30:L40)</f>
        <v>0</v>
      </c>
      <c r="U32" s="48"/>
      <c r="V32" s="52"/>
      <c r="W32" s="51"/>
    </row>
    <row r="33" spans="1:23">
      <c r="A33" s="19">
        <v>4</v>
      </c>
      <c r="B33" s="20">
        <v>43171</v>
      </c>
      <c r="C33" s="21">
        <v>3.12</v>
      </c>
      <c r="D33" s="22">
        <v>1</v>
      </c>
      <c r="E33" s="23">
        <v>198</v>
      </c>
      <c r="F33" s="27" t="s">
        <v>37</v>
      </c>
      <c r="G33" s="19" t="s">
        <v>25</v>
      </c>
      <c r="H33" s="25">
        <v>9.9</v>
      </c>
      <c r="J33" s="20">
        <v>43173</v>
      </c>
      <c r="K33" s="19" t="s">
        <v>26</v>
      </c>
      <c r="L33" s="23">
        <v>70</v>
      </c>
      <c r="M33" s="20" t="s">
        <v>32</v>
      </c>
      <c r="N33" s="19" t="s">
        <v>56</v>
      </c>
      <c r="O33" s="23"/>
      <c r="Q33" s="48" t="s">
        <v>35</v>
      </c>
      <c r="R33" s="48">
        <f>SUMIF(G30:G40,Q33,H30:H40)</f>
        <v>0</v>
      </c>
      <c r="S33" s="48" t="s">
        <v>36</v>
      </c>
      <c r="T33" s="48">
        <f>SUMIF(K30:K40,S33,L30:L40)</f>
        <v>0</v>
      </c>
      <c r="U33" s="48"/>
      <c r="V33" s="52"/>
      <c r="W33" s="51"/>
    </row>
    <row r="34" spans="1:23">
      <c r="A34" s="19">
        <v>5</v>
      </c>
      <c r="B34" s="20">
        <v>43172</v>
      </c>
      <c r="C34" s="21">
        <v>3.13</v>
      </c>
      <c r="D34" s="22">
        <v>1</v>
      </c>
      <c r="E34" s="23">
        <v>200</v>
      </c>
      <c r="F34" s="27" t="s">
        <v>37</v>
      </c>
      <c r="G34" s="19" t="s">
        <v>25</v>
      </c>
      <c r="H34" s="25">
        <v>10</v>
      </c>
      <c r="J34" s="20">
        <v>43173</v>
      </c>
      <c r="K34" s="19" t="s">
        <v>29</v>
      </c>
      <c r="L34" s="23">
        <v>771</v>
      </c>
      <c r="M34" s="20" t="s">
        <v>30</v>
      </c>
      <c r="N34" s="19" t="s">
        <v>269</v>
      </c>
      <c r="O34" s="23"/>
      <c r="Q34" s="48" t="s">
        <v>30</v>
      </c>
      <c r="R34" s="48">
        <f>SUMIF(G30:G40,Q34,H30:H40)</f>
        <v>0</v>
      </c>
      <c r="S34" s="48" t="s">
        <v>38</v>
      </c>
      <c r="T34" s="48">
        <f>SUMIF(K30:K40,S34,L30:L40)</f>
        <v>0</v>
      </c>
      <c r="U34" s="48"/>
      <c r="V34" s="52"/>
      <c r="W34" s="51"/>
    </row>
    <row r="35" spans="1:23">
      <c r="A35" s="19">
        <v>6</v>
      </c>
      <c r="B35" s="20">
        <v>43172</v>
      </c>
      <c r="C35" s="21" t="s">
        <v>172</v>
      </c>
      <c r="D35" s="22">
        <v>7</v>
      </c>
      <c r="E35" s="22">
        <v>1097</v>
      </c>
      <c r="F35" s="24" t="s">
        <v>43</v>
      </c>
      <c r="G35" s="19" t="s">
        <v>32</v>
      </c>
      <c r="H35" s="25">
        <v>54.9</v>
      </c>
      <c r="J35" s="20">
        <v>43182</v>
      </c>
      <c r="K35" s="19" t="s">
        <v>26</v>
      </c>
      <c r="L35" s="23">
        <v>70</v>
      </c>
      <c r="M35" s="20" t="s">
        <v>32</v>
      </c>
      <c r="N35" s="19" t="s">
        <v>56</v>
      </c>
      <c r="O35" s="23"/>
      <c r="Q35" s="48" t="s">
        <v>39</v>
      </c>
      <c r="R35" s="48">
        <f>SUMIF(G30:G40,Q35,H30:H40)</f>
        <v>0</v>
      </c>
      <c r="S35" s="48" t="s">
        <v>40</v>
      </c>
      <c r="T35" s="48">
        <f>SUMIF(K30:K40,S35,L30:L40)</f>
        <v>0</v>
      </c>
      <c r="U35" s="48"/>
      <c r="V35" s="48"/>
      <c r="W35" s="50"/>
    </row>
    <row r="36" spans="1:15">
      <c r="A36" s="19">
        <v>7</v>
      </c>
      <c r="B36" s="20">
        <v>43170</v>
      </c>
      <c r="C36" s="21" t="s">
        <v>270</v>
      </c>
      <c r="D36" s="22">
        <v>3</v>
      </c>
      <c r="E36" s="23">
        <f>(358.2+179.1)</f>
        <v>537.3</v>
      </c>
      <c r="F36" s="24" t="s">
        <v>46</v>
      </c>
      <c r="G36" s="19" t="s">
        <v>25</v>
      </c>
      <c r="H36" s="25">
        <f t="shared" ref="H36:H39" si="5">ROUND(E36*0.05,1)</f>
        <v>26.9</v>
      </c>
      <c r="J36" s="20">
        <v>43184</v>
      </c>
      <c r="K36" s="19" t="s">
        <v>26</v>
      </c>
      <c r="L36" s="23">
        <v>70</v>
      </c>
      <c r="M36" s="20" t="s">
        <v>32</v>
      </c>
      <c r="N36" s="19" t="s">
        <v>56</v>
      </c>
      <c r="O36" s="23"/>
    </row>
    <row r="37" spans="1:15">
      <c r="A37" s="19">
        <v>8</v>
      </c>
      <c r="B37" s="20">
        <v>43181</v>
      </c>
      <c r="C37" s="21">
        <v>3.22</v>
      </c>
      <c r="D37" s="22">
        <v>1</v>
      </c>
      <c r="E37" s="23">
        <v>200</v>
      </c>
      <c r="F37" s="24" t="s">
        <v>37</v>
      </c>
      <c r="G37" s="19" t="s">
        <v>32</v>
      </c>
      <c r="H37" s="25">
        <f t="shared" si="5"/>
        <v>10</v>
      </c>
      <c r="J37" s="20">
        <v>43187</v>
      </c>
      <c r="K37" s="19" t="s">
        <v>26</v>
      </c>
      <c r="L37" s="23">
        <v>70</v>
      </c>
      <c r="M37" s="20" t="s">
        <v>32</v>
      </c>
      <c r="N37" s="19" t="s">
        <v>56</v>
      </c>
      <c r="O37" s="23"/>
    </row>
    <row r="38" spans="1:15">
      <c r="A38" s="19">
        <v>9</v>
      </c>
      <c r="B38" s="20">
        <v>43183</v>
      </c>
      <c r="C38" s="21">
        <v>3.24</v>
      </c>
      <c r="D38" s="22">
        <v>1</v>
      </c>
      <c r="E38" s="23">
        <v>179.1</v>
      </c>
      <c r="F38" s="24" t="s">
        <v>46</v>
      </c>
      <c r="G38" s="19" t="s">
        <v>25</v>
      </c>
      <c r="H38" s="25">
        <f t="shared" si="5"/>
        <v>9</v>
      </c>
      <c r="J38" s="20">
        <v>43190</v>
      </c>
      <c r="K38" s="19" t="s">
        <v>26</v>
      </c>
      <c r="L38" s="23">
        <v>70</v>
      </c>
      <c r="M38" s="20" t="s">
        <v>32</v>
      </c>
      <c r="N38" s="19" t="s">
        <v>56</v>
      </c>
      <c r="O38" s="23"/>
    </row>
    <row r="39" spans="1:15">
      <c r="A39" s="19">
        <v>10</v>
      </c>
      <c r="B39" s="20">
        <v>43185</v>
      </c>
      <c r="C39" s="21" t="s">
        <v>271</v>
      </c>
      <c r="D39" s="22">
        <v>2</v>
      </c>
      <c r="E39" s="23">
        <v>364</v>
      </c>
      <c r="F39" s="24" t="s">
        <v>43</v>
      </c>
      <c r="G39" s="19" t="s">
        <v>32</v>
      </c>
      <c r="H39" s="25">
        <f t="shared" si="5"/>
        <v>18.2</v>
      </c>
      <c r="J39" s="20"/>
      <c r="K39" s="19"/>
      <c r="L39" s="23"/>
      <c r="M39" s="20"/>
      <c r="N39" s="19"/>
      <c r="O39" s="23"/>
    </row>
    <row r="40" spans="1:15">
      <c r="A40" s="19">
        <v>11</v>
      </c>
      <c r="B40" s="20"/>
      <c r="C40" s="21"/>
      <c r="D40" s="22"/>
      <c r="E40" s="23"/>
      <c r="F40" s="24"/>
      <c r="G40" s="19"/>
      <c r="H40" s="19"/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13"/>
      <c r="C41" s="14"/>
      <c r="D41" s="15">
        <f t="shared" ref="D41:H41" si="6">SUM(D42:D52)</f>
        <v>22</v>
      </c>
      <c r="E41" s="16">
        <f t="shared" si="6"/>
        <v>4146.2</v>
      </c>
      <c r="F41" s="28"/>
      <c r="G41" s="14"/>
      <c r="H41" s="16">
        <f t="shared" si="6"/>
        <v>207.4</v>
      </c>
      <c r="J41" s="14"/>
      <c r="K41" s="14"/>
      <c r="L41" s="16">
        <f>SUM(L42:L52)</f>
        <v>0</v>
      </c>
      <c r="M41" s="14"/>
      <c r="N41" s="14"/>
      <c r="O41" s="16"/>
    </row>
    <row r="42" spans="1:15">
      <c r="A42" s="19">
        <v>1</v>
      </c>
      <c r="B42" s="20">
        <v>43182</v>
      </c>
      <c r="C42" s="21" t="s">
        <v>272</v>
      </c>
      <c r="D42" s="22">
        <v>4</v>
      </c>
      <c r="E42" s="29">
        <v>699</v>
      </c>
      <c r="F42" s="30" t="s">
        <v>43</v>
      </c>
      <c r="G42" s="31" t="s">
        <v>32</v>
      </c>
      <c r="H42" s="25">
        <f t="shared" ref="H42:H49" si="7">ROUND(E42*0.05,1)</f>
        <v>35</v>
      </c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43195</v>
      </c>
      <c r="C43" s="21" t="s">
        <v>273</v>
      </c>
      <c r="D43" s="22">
        <v>2</v>
      </c>
      <c r="E43" s="23">
        <v>376</v>
      </c>
      <c r="F43" s="32" t="s">
        <v>37</v>
      </c>
      <c r="G43" s="19" t="s">
        <v>30</v>
      </c>
      <c r="H43" s="25">
        <f t="shared" si="7"/>
        <v>18.8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>
        <v>43203</v>
      </c>
      <c r="C44" s="21">
        <v>4.13</v>
      </c>
      <c r="D44" s="22">
        <v>1</v>
      </c>
      <c r="E44" s="23">
        <v>188</v>
      </c>
      <c r="F44" s="24" t="s">
        <v>37</v>
      </c>
      <c r="G44" s="19" t="s">
        <v>30</v>
      </c>
      <c r="H44" s="25">
        <f t="shared" si="7"/>
        <v>9.4</v>
      </c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43204</v>
      </c>
      <c r="C45" s="21" t="s">
        <v>133</v>
      </c>
      <c r="D45" s="22">
        <v>2</v>
      </c>
      <c r="E45" s="23">
        <f>188*2</f>
        <v>376</v>
      </c>
      <c r="F45" s="32" t="s">
        <v>37</v>
      </c>
      <c r="G45" s="19" t="s">
        <v>30</v>
      </c>
      <c r="H45" s="25">
        <f t="shared" si="7"/>
        <v>18.8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43205</v>
      </c>
      <c r="C46" s="21" t="s">
        <v>274</v>
      </c>
      <c r="D46" s="22">
        <v>2</v>
      </c>
      <c r="E46" s="23">
        <v>392.4</v>
      </c>
      <c r="F46" s="33" t="s">
        <v>46</v>
      </c>
      <c r="G46" s="19" t="s">
        <v>25</v>
      </c>
      <c r="H46" s="25">
        <f t="shared" si="7"/>
        <v>19.6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43209</v>
      </c>
      <c r="C47" s="21" t="s">
        <v>176</v>
      </c>
      <c r="D47" s="22">
        <v>2</v>
      </c>
      <c r="E47" s="23">
        <v>392.4</v>
      </c>
      <c r="F47" s="24" t="s">
        <v>46</v>
      </c>
      <c r="G47" s="19" t="s">
        <v>25</v>
      </c>
      <c r="H47" s="25">
        <f t="shared" si="7"/>
        <v>19.6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43210</v>
      </c>
      <c r="C48" s="21" t="s">
        <v>275</v>
      </c>
      <c r="D48" s="22">
        <v>3</v>
      </c>
      <c r="E48" s="23">
        <f>170*3</f>
        <v>510</v>
      </c>
      <c r="F48" s="24" t="s">
        <v>37</v>
      </c>
      <c r="G48" s="19" t="s">
        <v>25</v>
      </c>
      <c r="H48" s="25">
        <f t="shared" si="7"/>
        <v>25.5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>
        <v>43210</v>
      </c>
      <c r="C49" s="21" t="s">
        <v>276</v>
      </c>
      <c r="D49" s="22">
        <v>5</v>
      </c>
      <c r="E49" s="23">
        <v>997.3</v>
      </c>
      <c r="F49" s="24" t="s">
        <v>43</v>
      </c>
      <c r="G49" s="19" t="s">
        <v>32</v>
      </c>
      <c r="H49" s="25">
        <f t="shared" si="7"/>
        <v>49.9</v>
      </c>
      <c r="J49" s="20"/>
      <c r="K49" s="19"/>
      <c r="L49" s="23"/>
      <c r="M49" s="20"/>
      <c r="N49" s="19"/>
      <c r="O49" s="23"/>
    </row>
    <row r="50" spans="1:15">
      <c r="A50" s="19">
        <v>9</v>
      </c>
      <c r="B50" s="20"/>
      <c r="C50" s="21"/>
      <c r="D50" s="22"/>
      <c r="E50" s="23"/>
      <c r="F50" s="24"/>
      <c r="G50" s="19"/>
      <c r="H50" s="19"/>
      <c r="J50" s="20"/>
      <c r="K50" s="19"/>
      <c r="L50" s="23"/>
      <c r="M50" s="20"/>
      <c r="N50" s="19"/>
      <c r="O50" s="23"/>
    </row>
    <row r="51" spans="1:15">
      <c r="A51" s="19">
        <v>10</v>
      </c>
      <c r="B51" s="20">
        <v>43180</v>
      </c>
      <c r="C51" s="34">
        <v>4.3</v>
      </c>
      <c r="D51" s="22">
        <v>1</v>
      </c>
      <c r="E51" s="23">
        <f>ROUND(1075.5/5,1)</f>
        <v>215.1</v>
      </c>
      <c r="F51" s="24" t="s">
        <v>24</v>
      </c>
      <c r="G51" s="19" t="s">
        <v>25</v>
      </c>
      <c r="H51" s="25">
        <f>ROUND(E51*0.05,1)</f>
        <v>10.8</v>
      </c>
      <c r="J51" s="20"/>
      <c r="K51" s="19"/>
      <c r="L51" s="23"/>
      <c r="M51" s="20"/>
      <c r="N51" s="19"/>
      <c r="O51" s="23"/>
    </row>
    <row r="52" spans="1:15">
      <c r="A52" s="19">
        <v>11</v>
      </c>
      <c r="B52" s="20"/>
      <c r="C52" s="21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ht="30" customHeight="1" spans="1:15">
      <c r="A53" s="12" t="s">
        <v>76</v>
      </c>
      <c r="B53" s="13"/>
      <c r="C53" s="14"/>
      <c r="D53" s="15">
        <f t="shared" ref="D53:H53" si="8">SUM(D54:D64)</f>
        <v>4</v>
      </c>
      <c r="E53" s="16">
        <f t="shared" si="8"/>
        <v>860.4</v>
      </c>
      <c r="F53" s="14"/>
      <c r="G53" s="14"/>
      <c r="H53" s="16">
        <f t="shared" si="8"/>
        <v>43</v>
      </c>
      <c r="J53" s="14"/>
      <c r="K53" s="14"/>
      <c r="L53" s="16">
        <f>SUM(L54:L64)</f>
        <v>0</v>
      </c>
      <c r="M53" s="14"/>
      <c r="N53" s="14"/>
      <c r="O53" s="16"/>
    </row>
    <row r="54" spans="1:15">
      <c r="A54" s="19">
        <v>1</v>
      </c>
      <c r="B54" s="20">
        <v>43180</v>
      </c>
      <c r="C54" s="21" t="s">
        <v>191</v>
      </c>
      <c r="D54" s="22">
        <v>4</v>
      </c>
      <c r="E54" s="23">
        <f>ROUND(1075.5/5*4,1)</f>
        <v>860.4</v>
      </c>
      <c r="F54" s="24" t="s">
        <v>24</v>
      </c>
      <c r="G54" s="19" t="s">
        <v>25</v>
      </c>
      <c r="H54" s="25">
        <f>ROUND(E54*0.05,1)</f>
        <v>43</v>
      </c>
      <c r="J54" s="40"/>
      <c r="K54" s="19"/>
      <c r="L54" s="23"/>
      <c r="M54" s="40"/>
      <c r="N54" s="19"/>
      <c r="O54" s="23"/>
    </row>
    <row r="55" spans="1:15">
      <c r="A55" s="19">
        <v>2</v>
      </c>
      <c r="B55" s="20"/>
      <c r="C55" s="21"/>
      <c r="D55" s="22"/>
      <c r="E55" s="23"/>
      <c r="F55" s="19"/>
      <c r="G55" s="19"/>
      <c r="H55" s="19"/>
      <c r="J55" s="20"/>
      <c r="K55" s="19"/>
      <c r="L55" s="23"/>
      <c r="M55" s="20"/>
      <c r="N55" s="19"/>
      <c r="O55" s="23"/>
    </row>
    <row r="56" spans="1:15">
      <c r="A56" s="19">
        <v>3</v>
      </c>
      <c r="B56" s="20"/>
      <c r="C56" s="21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4</v>
      </c>
      <c r="B57" s="20"/>
      <c r="C57" s="21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5</v>
      </c>
      <c r="B58" s="20"/>
      <c r="C58" s="21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6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7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8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9</v>
      </c>
      <c r="B62" s="20"/>
      <c r="C62" s="21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10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11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ht="30" customHeight="1" spans="1:15">
      <c r="A65" s="12" t="s">
        <v>80</v>
      </c>
      <c r="B65" s="13"/>
      <c r="C65" s="14"/>
      <c r="D65" s="15">
        <f t="shared" ref="D65:H65" si="9">SUM(D66:D76)</f>
        <v>0</v>
      </c>
      <c r="E65" s="16">
        <f t="shared" si="9"/>
        <v>0</v>
      </c>
      <c r="F65" s="14"/>
      <c r="G65" s="14"/>
      <c r="H65" s="16">
        <f t="shared" si="9"/>
        <v>0</v>
      </c>
      <c r="J65" s="14"/>
      <c r="K65" s="14"/>
      <c r="L65" s="16">
        <f>SUM(L66:L76)</f>
        <v>0</v>
      </c>
      <c r="M65" s="14"/>
      <c r="N65" s="14"/>
      <c r="O65" s="16"/>
    </row>
    <row r="66" spans="1:15">
      <c r="A66" s="19">
        <v>1</v>
      </c>
      <c r="B66" s="20"/>
      <c r="C66" s="21"/>
      <c r="D66" s="22"/>
      <c r="E66" s="23"/>
      <c r="F66" s="24"/>
      <c r="G66" s="19"/>
      <c r="H66" s="19"/>
      <c r="J66" s="40"/>
      <c r="K66" s="19"/>
      <c r="L66" s="23"/>
      <c r="M66" s="40"/>
      <c r="N66" s="19"/>
      <c r="O66" s="23"/>
    </row>
    <row r="67" spans="1:15">
      <c r="A67" s="19">
        <v>2</v>
      </c>
      <c r="B67" s="20"/>
      <c r="C67" s="21"/>
      <c r="D67" s="22"/>
      <c r="E67" s="23"/>
      <c r="F67" s="19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3</v>
      </c>
      <c r="B68" s="20"/>
      <c r="C68" s="21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4</v>
      </c>
      <c r="B69" s="20"/>
      <c r="C69" s="21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5</v>
      </c>
      <c r="B70" s="20"/>
      <c r="C70" s="21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6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7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8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9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10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11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ht="30" customHeight="1" spans="1:15">
      <c r="A77" s="12" t="s">
        <v>82</v>
      </c>
      <c r="B77" s="13"/>
      <c r="C77" s="14"/>
      <c r="D77" s="15">
        <f t="shared" ref="D77:H77" si="10">SUM(D78:D88)</f>
        <v>0</v>
      </c>
      <c r="E77" s="16">
        <f t="shared" si="10"/>
        <v>0</v>
      </c>
      <c r="F77" s="14"/>
      <c r="G77" s="14"/>
      <c r="H77" s="16">
        <f t="shared" si="10"/>
        <v>0</v>
      </c>
      <c r="J77" s="14"/>
      <c r="K77" s="14"/>
      <c r="L77" s="16">
        <f>SUM(L78:L88)</f>
        <v>0</v>
      </c>
      <c r="M77" s="14"/>
      <c r="N77" s="14"/>
      <c r="O77" s="16"/>
    </row>
    <row r="78" spans="1:15">
      <c r="A78" s="19">
        <v>1</v>
      </c>
      <c r="B78" s="20"/>
      <c r="C78" s="21"/>
      <c r="D78" s="22"/>
      <c r="E78" s="23"/>
      <c r="F78" s="24"/>
      <c r="G78" s="19"/>
      <c r="H78" s="19"/>
      <c r="J78" s="40"/>
      <c r="K78" s="19"/>
      <c r="L78" s="23"/>
      <c r="M78" s="40"/>
      <c r="N78" s="19"/>
      <c r="O78" s="23"/>
    </row>
    <row r="79" spans="1:15">
      <c r="A79" s="19">
        <v>2</v>
      </c>
      <c r="B79" s="20"/>
      <c r="C79" s="21"/>
      <c r="D79" s="22"/>
      <c r="E79" s="23"/>
      <c r="F79" s="19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3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4</v>
      </c>
      <c r="B81" s="20"/>
      <c r="C81" s="21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5</v>
      </c>
      <c r="B82" s="20"/>
      <c r="C82" s="21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6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7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8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9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10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11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ht="30" customHeight="1" spans="1:15">
      <c r="A89" s="12" t="s">
        <v>83</v>
      </c>
      <c r="B89" s="13"/>
      <c r="C89" s="14"/>
      <c r="D89" s="15">
        <f t="shared" ref="D89:H89" si="11">SUM(D90:D100)</f>
        <v>0</v>
      </c>
      <c r="E89" s="16">
        <f t="shared" si="11"/>
        <v>0</v>
      </c>
      <c r="F89" s="14"/>
      <c r="G89" s="14"/>
      <c r="H89" s="16">
        <f t="shared" si="11"/>
        <v>0</v>
      </c>
      <c r="J89" s="14"/>
      <c r="K89" s="14"/>
      <c r="L89" s="16">
        <f>SUM(L90:L100)</f>
        <v>0</v>
      </c>
      <c r="M89" s="14"/>
      <c r="N89" s="14"/>
      <c r="O89" s="16"/>
    </row>
    <row r="90" spans="1:15">
      <c r="A90" s="19">
        <v>1</v>
      </c>
      <c r="B90" s="20"/>
      <c r="C90" s="21"/>
      <c r="D90" s="22"/>
      <c r="E90" s="23"/>
      <c r="F90" s="24"/>
      <c r="G90" s="19"/>
      <c r="H90" s="19"/>
      <c r="J90" s="40"/>
      <c r="K90" s="19"/>
      <c r="L90" s="23"/>
      <c r="M90" s="40"/>
      <c r="N90" s="19"/>
      <c r="O90" s="23"/>
    </row>
    <row r="91" spans="1:15">
      <c r="A91" s="19">
        <v>2</v>
      </c>
      <c r="B91" s="20"/>
      <c r="C91" s="21"/>
      <c r="D91" s="22"/>
      <c r="E91" s="23"/>
      <c r="F91" s="19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3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4</v>
      </c>
      <c r="B93" s="20"/>
      <c r="C93" s="21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5</v>
      </c>
      <c r="B94" s="20"/>
      <c r="C94" s="21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6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7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8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9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10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11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ht="30" customHeight="1" spans="1:15">
      <c r="A101" s="12" t="s">
        <v>84</v>
      </c>
      <c r="B101" s="13"/>
      <c r="C101" s="14"/>
      <c r="D101" s="15">
        <f t="shared" ref="D101:H101" si="12">SUM(D102:D112)</f>
        <v>0</v>
      </c>
      <c r="E101" s="16">
        <f t="shared" si="12"/>
        <v>0</v>
      </c>
      <c r="F101" s="14"/>
      <c r="G101" s="14"/>
      <c r="H101" s="16">
        <f t="shared" si="12"/>
        <v>0</v>
      </c>
      <c r="J101" s="14"/>
      <c r="K101" s="14"/>
      <c r="L101" s="16">
        <f>SUM(L102:L112)</f>
        <v>0</v>
      </c>
      <c r="M101" s="14"/>
      <c r="N101" s="14"/>
      <c r="O101" s="16"/>
    </row>
    <row r="102" spans="1:15">
      <c r="A102" s="19">
        <v>1</v>
      </c>
      <c r="B102" s="20"/>
      <c r="C102" s="21"/>
      <c r="D102" s="22"/>
      <c r="E102" s="23"/>
      <c r="F102" s="24"/>
      <c r="G102" s="19"/>
      <c r="H102" s="19"/>
      <c r="J102" s="40"/>
      <c r="K102" s="19"/>
      <c r="L102" s="23"/>
      <c r="M102" s="40"/>
      <c r="N102" s="19"/>
      <c r="O102" s="23"/>
    </row>
    <row r="103" spans="1:15">
      <c r="A103" s="19">
        <v>2</v>
      </c>
      <c r="B103" s="20"/>
      <c r="C103" s="21"/>
      <c r="D103" s="22"/>
      <c r="E103" s="23"/>
      <c r="F103" s="19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3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4</v>
      </c>
      <c r="B105" s="20"/>
      <c r="C105" s="21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5</v>
      </c>
      <c r="B106" s="20"/>
      <c r="C106" s="21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6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7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8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9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10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11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ht="30" customHeight="1" spans="1:15">
      <c r="A113" s="12" t="s">
        <v>85</v>
      </c>
      <c r="B113" s="13"/>
      <c r="C113" s="14"/>
      <c r="D113" s="15">
        <f t="shared" ref="D113:H113" si="13">SUM(D114:D124)</f>
        <v>0</v>
      </c>
      <c r="E113" s="16">
        <f t="shared" si="13"/>
        <v>0</v>
      </c>
      <c r="F113" s="14"/>
      <c r="G113" s="14"/>
      <c r="H113" s="16">
        <f t="shared" si="13"/>
        <v>0</v>
      </c>
      <c r="J113" s="14"/>
      <c r="K113" s="14"/>
      <c r="L113" s="16">
        <f>SUM(L114:L124)</f>
        <v>0</v>
      </c>
      <c r="M113" s="14"/>
      <c r="N113" s="14"/>
      <c r="O113" s="16"/>
    </row>
    <row r="114" spans="1:15">
      <c r="A114" s="19">
        <v>1</v>
      </c>
      <c r="B114" s="20"/>
      <c r="C114" s="21"/>
      <c r="D114" s="22"/>
      <c r="E114" s="23"/>
      <c r="F114" s="24"/>
      <c r="G114" s="19"/>
      <c r="H114" s="19"/>
      <c r="J114" s="40"/>
      <c r="K114" s="19"/>
      <c r="L114" s="23"/>
      <c r="M114" s="40"/>
      <c r="N114" s="19"/>
      <c r="O114" s="23"/>
    </row>
    <row r="115" spans="1:15">
      <c r="A115" s="19">
        <v>2</v>
      </c>
      <c r="B115" s="20"/>
      <c r="C115" s="21"/>
      <c r="D115" s="22"/>
      <c r="E115" s="23"/>
      <c r="F115" s="19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3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4</v>
      </c>
      <c r="B117" s="20"/>
      <c r="C117" s="21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5</v>
      </c>
      <c r="B118" s="20"/>
      <c r="C118" s="21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6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7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8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9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10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11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ht="30" customHeight="1" spans="1:15">
      <c r="A125" s="12" t="s">
        <v>86</v>
      </c>
      <c r="B125" s="13"/>
      <c r="C125" s="14"/>
      <c r="D125" s="15">
        <f t="shared" ref="D125:H125" si="14">SUM(D126:D136)</f>
        <v>0</v>
      </c>
      <c r="E125" s="16">
        <f t="shared" si="14"/>
        <v>0</v>
      </c>
      <c r="F125" s="14"/>
      <c r="G125" s="14"/>
      <c r="H125" s="16">
        <f t="shared" si="14"/>
        <v>0</v>
      </c>
      <c r="J125" s="14"/>
      <c r="K125" s="14"/>
      <c r="L125" s="16">
        <f>SUM(L126:L136)</f>
        <v>0</v>
      </c>
      <c r="M125" s="14"/>
      <c r="N125" s="14"/>
      <c r="O125" s="16"/>
    </row>
    <row r="126" spans="1:15">
      <c r="A126" s="19">
        <v>1</v>
      </c>
      <c r="B126" s="20"/>
      <c r="C126" s="21"/>
      <c r="D126" s="22"/>
      <c r="E126" s="23"/>
      <c r="F126" s="24"/>
      <c r="G126" s="19"/>
      <c r="H126" s="19"/>
      <c r="J126" s="40"/>
      <c r="K126" s="19"/>
      <c r="L126" s="23"/>
      <c r="M126" s="40"/>
      <c r="N126" s="19"/>
      <c r="O126" s="23"/>
    </row>
    <row r="127" spans="1:15">
      <c r="A127" s="19">
        <v>2</v>
      </c>
      <c r="B127" s="20"/>
      <c r="C127" s="21"/>
      <c r="D127" s="22"/>
      <c r="E127" s="23"/>
      <c r="F127" s="19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3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4</v>
      </c>
      <c r="B129" s="20"/>
      <c r="C129" s="21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5</v>
      </c>
      <c r="B130" s="20"/>
      <c r="C130" s="21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6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7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8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9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10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11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ht="30" customHeight="1" spans="1:15">
      <c r="A137" s="12" t="s">
        <v>87</v>
      </c>
      <c r="B137" s="13"/>
      <c r="C137" s="14"/>
      <c r="D137" s="15">
        <f t="shared" ref="D137:H137" si="15">SUM(D138:D148)</f>
        <v>0</v>
      </c>
      <c r="E137" s="16">
        <f t="shared" si="15"/>
        <v>0</v>
      </c>
      <c r="F137" s="14"/>
      <c r="G137" s="14"/>
      <c r="H137" s="16">
        <f t="shared" si="15"/>
        <v>0</v>
      </c>
      <c r="J137" s="14"/>
      <c r="K137" s="14"/>
      <c r="L137" s="16">
        <f>SUM(L138:L148)</f>
        <v>0</v>
      </c>
      <c r="M137" s="14"/>
      <c r="N137" s="14"/>
      <c r="O137" s="16"/>
    </row>
    <row r="138" spans="1:15">
      <c r="A138" s="19">
        <v>1</v>
      </c>
      <c r="B138" s="20"/>
      <c r="C138" s="21"/>
      <c r="D138" s="22"/>
      <c r="E138" s="23"/>
      <c r="F138" s="24"/>
      <c r="G138" s="19"/>
      <c r="H138" s="19"/>
      <c r="J138" s="40"/>
      <c r="K138" s="19"/>
      <c r="L138" s="23"/>
      <c r="M138" s="40"/>
      <c r="N138" s="19"/>
      <c r="O138" s="23"/>
    </row>
    <row r="139" spans="1:15">
      <c r="A139" s="19">
        <v>2</v>
      </c>
      <c r="B139" s="20"/>
      <c r="C139" s="21"/>
      <c r="D139" s="22"/>
      <c r="E139" s="23"/>
      <c r="F139" s="19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3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4</v>
      </c>
      <c r="B141" s="20"/>
      <c r="C141" s="21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5</v>
      </c>
      <c r="B142" s="20"/>
      <c r="C142" s="21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6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7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8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9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10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11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14 G16 G50 G52 G24:G28 G38:G40 G55:G64 G66:G76 G78:G88 G90:G100 G102:G112 G114:G124 G126:G136 G138:G148 N15:N16 N24:N28 N30:N40 N42:N52 N54:N64 N66:N76 N78:N88 N90:N100 N102:N112 N114:N124 N126:N136 N138:N148">
      <formula1>"王,娟,敏,蕾,佩,松"</formula1>
    </dataValidation>
    <dataValidation type="list" allowBlank="1" showInputMessage="1" showErrorMessage="1" sqref="G15 G51 G54 G6:G13 G18:G23 G30:G37 G42:G49 M6:M14 M18:M23">
      <formula1>"王,娟,蕾,敏,佩,松"</formula1>
    </dataValidation>
    <dataValidation type="list" allowBlank="1" showInputMessage="1" showErrorMessage="1" sqref="F16 F28 F40 F52 F64 F76 F88 F100 F112 F124 F136 F148">
      <formula1>"小猪,蚂蚁,BNB,途家,闲鱼"</formula1>
    </dataValidation>
    <dataValidation type="list" allowBlank="1" showInputMessage="1" sqref="F18 F22 F50 F6:F15 F24:F27 F38:F39 F55:F63 F66:F75 F78:F87 F90:F99 F102:F111 F114:F123 F126:F135 F138:F147">
      <formula1>"小猪,蚂蚁,BNB,途家,闲鱼,线下"</formula1>
    </dataValidation>
    <dataValidation type="list" allowBlank="1" showInputMessage="1" sqref="F23 F19:F21 F43:F49">
      <formula1>"小猪,蚂蚁,BNB,途家,闲鱼"</formula1>
    </dataValidation>
    <dataValidation type="list" allowBlank="1" showInputMessage="1" showErrorMessage="1" sqref="F42 F51 F54 F30:F37">
      <formula1>"小猪,蚂蚁,BNB,途家,闲鱼,线下"</formula1>
    </dataValidation>
    <dataValidation type="list" allowBlank="1" showInputMessage="1" showErrorMessage="1" sqref="K6:K16 K18:K28 K30:K40 K42:K52 K54:K64 K66:K76 K78:K88 K90:K100 K102:K112 K114:K124 K126:K136 K138:K148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"/>
  <sheetViews>
    <sheetView workbookViewId="0">
      <selection activeCell="H26" sqref="H26"/>
    </sheetView>
  </sheetViews>
  <sheetFormatPr defaultColWidth="9" defaultRowHeight="15"/>
  <sheetData>
    <row r="1" spans="13:13">
      <c r="M1" s="1" t="s">
        <v>277</v>
      </c>
    </row>
    <row r="2" spans="2:14">
      <c r="B2" s="1" t="s">
        <v>1</v>
      </c>
      <c r="C2" s="1" t="s">
        <v>12</v>
      </c>
      <c r="D2" s="1" t="s">
        <v>14</v>
      </c>
      <c r="E2" s="1"/>
      <c r="F2" s="1"/>
      <c r="G2" s="1"/>
      <c r="H2" s="1"/>
      <c r="I2" s="1"/>
      <c r="J2" s="1"/>
      <c r="K2" s="2"/>
      <c r="L2" s="2"/>
      <c r="M2" s="1" t="s">
        <v>278</v>
      </c>
      <c r="N2" s="1" t="s">
        <v>278</v>
      </c>
    </row>
    <row r="3" spans="2:14">
      <c r="B3" s="2">
        <v>1</v>
      </c>
      <c r="C3" s="1" t="s">
        <v>24</v>
      </c>
      <c r="D3" s="1" t="s">
        <v>39</v>
      </c>
      <c r="E3" s="1"/>
      <c r="F3" s="1"/>
      <c r="G3" s="1"/>
      <c r="H3" s="1"/>
      <c r="I3" s="1"/>
      <c r="J3" s="1"/>
      <c r="K3" s="2"/>
      <c r="L3" s="2"/>
      <c r="M3" s="1" t="s">
        <v>279</v>
      </c>
      <c r="N3" s="2"/>
    </row>
    <row r="4" spans="2:14">
      <c r="B4" s="2">
        <v>2</v>
      </c>
      <c r="C4" s="1" t="s">
        <v>46</v>
      </c>
      <c r="D4" s="1" t="s">
        <v>27</v>
      </c>
      <c r="E4" s="1"/>
      <c r="F4" s="1"/>
      <c r="G4" s="1"/>
      <c r="H4" s="1"/>
      <c r="I4" s="1"/>
      <c r="J4" s="1"/>
      <c r="K4" s="2"/>
      <c r="L4" s="2"/>
      <c r="M4" s="1" t="s">
        <v>280</v>
      </c>
      <c r="N4" s="2"/>
    </row>
    <row r="5" spans="2:14">
      <c r="B5" s="2">
        <v>3</v>
      </c>
      <c r="C5" s="1" t="s">
        <v>43</v>
      </c>
      <c r="D5" s="1" t="s">
        <v>32</v>
      </c>
      <c r="E5" s="1"/>
      <c r="F5" s="1"/>
      <c r="G5" s="1"/>
      <c r="H5" s="1"/>
      <c r="I5" s="1"/>
      <c r="J5" s="1"/>
      <c r="K5" s="2"/>
      <c r="L5" s="2"/>
      <c r="M5" s="1" t="s">
        <v>281</v>
      </c>
      <c r="N5" s="2"/>
    </row>
    <row r="6" spans="2:14">
      <c r="B6" s="2">
        <v>4</v>
      </c>
      <c r="C6" s="1" t="s">
        <v>57</v>
      </c>
      <c r="D6" s="1" t="s">
        <v>35</v>
      </c>
      <c r="E6" s="1"/>
      <c r="F6" s="1"/>
      <c r="G6" s="1"/>
      <c r="H6" s="1"/>
      <c r="I6" s="1"/>
      <c r="J6" s="1"/>
      <c r="K6" s="2"/>
      <c r="L6" s="2"/>
      <c r="M6" s="2"/>
      <c r="N6" s="2"/>
    </row>
    <row r="7" spans="2:14">
      <c r="B7" s="2">
        <v>5</v>
      </c>
      <c r="C7" s="1" t="s">
        <v>182</v>
      </c>
      <c r="D7" s="1" t="s">
        <v>40</v>
      </c>
      <c r="E7" s="1"/>
      <c r="F7" s="1"/>
      <c r="G7" s="1"/>
      <c r="H7" s="1"/>
      <c r="I7" s="1"/>
      <c r="J7" s="1"/>
      <c r="K7" s="2"/>
      <c r="L7" s="2"/>
      <c r="M7" s="2"/>
      <c r="N7" s="2"/>
    </row>
    <row r="8" spans="2:14">
      <c r="B8" s="2">
        <v>6</v>
      </c>
      <c r="C8" s="1" t="s">
        <v>37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>
      <c r="B9" s="2">
        <v>7</v>
      </c>
      <c r="C9" s="1" t="s">
        <v>40</v>
      </c>
      <c r="D9" s="1"/>
      <c r="E9" s="1"/>
      <c r="F9" s="1"/>
      <c r="G9" s="1"/>
      <c r="H9" s="1"/>
      <c r="I9" s="1"/>
      <c r="J9" s="1"/>
      <c r="K9" s="2"/>
      <c r="L9" s="2"/>
      <c r="M9" s="3"/>
      <c r="N9" s="2"/>
    </row>
    <row r="10" spans="2:14">
      <c r="B10" s="2"/>
      <c r="C10" s="1" t="s">
        <v>282</v>
      </c>
      <c r="D10" s="2"/>
      <c r="E10" s="2"/>
      <c r="F10" s="2"/>
      <c r="G10" s="2"/>
      <c r="H10" s="2"/>
      <c r="I10" s="2"/>
      <c r="J10" s="2"/>
      <c r="K10" s="1"/>
      <c r="L10" s="1"/>
      <c r="M10" s="2"/>
      <c r="N10" s="2"/>
    </row>
  </sheetData>
  <dataValidations count="3">
    <dataValidation type="list" allowBlank="1" showInputMessage="1" sqref="N2">
      <formula1>OFFSET($M$1,MATCH($N$2&amp;"*",$M$2:$M$5,0),,COUNTIF($M$2:$M$5,$N$2&amp;"*"),1)</formula1>
    </dataValidation>
    <dataValidation type="list" allowBlank="1" showInputMessage="1" sqref="M9">
      <formula1>"offset（$F$9，match（$F$9&amp;“*”,$C$3:$C$10,0），countif（$C$3:$C$10，$C$3&amp;“*”），1）"</formula1>
    </dataValidation>
    <dataValidation type="list" allowBlank="1" showInputMessage="1" showErrorMessage="1" sqref="K10:L10">
      <formula1>$C$3:$C$10</formula1>
    </dataValidation>
  </dataValidations>
  <pageMargins left="0.698611111111111" right="0.698611111111111" top="0.75" bottom="0.75" header="0.3" footer="0.3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3"/>
  </sheetPr>
  <dimension ref="A1:W153"/>
  <sheetViews>
    <sheetView zoomScale="85" zoomScaleNormal="85" workbookViewId="0">
      <pane xSplit="1" ySplit="4" topLeftCell="B37" activePane="bottomRight" state="frozen"/>
      <selection/>
      <selection pane="topRight"/>
      <selection pane="bottomLeft"/>
      <selection pane="bottomRight" activeCell="B51" sqref="B51"/>
    </sheetView>
  </sheetViews>
  <sheetFormatPr defaultColWidth="9" defaultRowHeight="15"/>
  <cols>
    <col min="1" max="1" width="6" style="2" customWidth="1"/>
    <col min="2" max="2" width="5.78333333333333" style="2" customWidth="1"/>
    <col min="3" max="6" width="9" style="2" customWidth="1"/>
    <col min="7" max="7" width="9.375" style="2" customWidth="1"/>
    <col min="8" max="8" width="9" style="2" customWidth="1"/>
    <col min="9" max="9" width="3.125" style="2" customWidth="1"/>
    <col min="10" max="15" width="9" style="2" customWidth="1"/>
    <col min="16" max="16" width="3.375" customWidth="1"/>
    <col min="17" max="17" width="5.625"/>
    <col min="18" max="18" width="6.375"/>
    <col min="19" max="19" width="5.625"/>
    <col min="20" max="20" width="8.41666666666667" customWidth="1"/>
    <col min="21" max="21" width="5.625"/>
    <col min="22" max="22" width="8.375"/>
    <col min="23" max="23" width="5.625"/>
  </cols>
  <sheetData>
    <row r="1" s="4" customFormat="1" ht="39" customHeight="1" spans="1:23">
      <c r="A1" s="6" t="s">
        <v>88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SUM(D6:D21)</f>
        <v>13</v>
      </c>
      <c r="E5" s="16">
        <f t="shared" si="0"/>
        <v>3235.8</v>
      </c>
      <c r="F5" s="14"/>
      <c r="G5" s="14"/>
      <c r="H5" s="16">
        <f t="shared" si="0"/>
        <v>162</v>
      </c>
      <c r="J5" s="14"/>
      <c r="K5" s="14"/>
      <c r="L5" s="16">
        <f>SUM(L6:L21)</f>
        <v>1267.7</v>
      </c>
      <c r="M5" s="14"/>
      <c r="N5" s="14"/>
      <c r="O5" s="16">
        <f>E5-H5-L5</f>
        <v>1806.1</v>
      </c>
      <c r="Q5" s="48"/>
      <c r="R5" s="48">
        <f>SUM(R6:R11)</f>
        <v>162</v>
      </c>
      <c r="S5" s="48"/>
      <c r="T5" s="49">
        <f>SUM(T6:T11)</f>
        <v>1267.7</v>
      </c>
      <c r="U5" s="48"/>
      <c r="V5" s="48"/>
      <c r="W5" s="50"/>
    </row>
    <row r="6" spans="1:23">
      <c r="A6" s="19">
        <v>1</v>
      </c>
      <c r="B6" s="20">
        <v>43103</v>
      </c>
      <c r="C6" s="21">
        <v>1.3</v>
      </c>
      <c r="D6" s="22">
        <v>1</v>
      </c>
      <c r="E6" s="23">
        <v>259.2</v>
      </c>
      <c r="F6" s="24" t="s">
        <v>46</v>
      </c>
      <c r="G6" s="19" t="s">
        <v>25</v>
      </c>
      <c r="H6" s="25">
        <f t="shared" ref="H6:H16" si="1">ROUND(E6*0.05,1)</f>
        <v>13</v>
      </c>
      <c r="J6" s="40">
        <v>43101</v>
      </c>
      <c r="K6" s="19" t="s">
        <v>33</v>
      </c>
      <c r="L6" s="23">
        <v>15</v>
      </c>
      <c r="M6" s="19" t="s">
        <v>27</v>
      </c>
      <c r="N6" s="41" t="s">
        <v>90</v>
      </c>
      <c r="O6" s="23"/>
      <c r="Q6" s="48" t="s">
        <v>27</v>
      </c>
      <c r="R6" s="48">
        <f>SUMIF(G6:G21,Q6,H6:H21)</f>
        <v>78.2</v>
      </c>
      <c r="S6" s="48" t="s">
        <v>26</v>
      </c>
      <c r="T6" s="48">
        <f t="shared" ref="T6:T11" si="2">SUMIF($K$6:$K$21,S6,$L$6:$L$21)</f>
        <v>880</v>
      </c>
      <c r="U6" s="48" t="s">
        <v>28</v>
      </c>
      <c r="V6" s="49">
        <f>O5</f>
        <v>1806.1</v>
      </c>
      <c r="W6" s="50"/>
    </row>
    <row r="7" spans="1:23">
      <c r="A7" s="19">
        <v>2</v>
      </c>
      <c r="B7" s="20">
        <v>43103</v>
      </c>
      <c r="C7" s="21">
        <v>1.4</v>
      </c>
      <c r="D7" s="22">
        <v>1</v>
      </c>
      <c r="E7" s="23">
        <v>288</v>
      </c>
      <c r="F7" s="26" t="s">
        <v>46</v>
      </c>
      <c r="G7" s="19" t="s">
        <v>25</v>
      </c>
      <c r="H7" s="25">
        <f t="shared" si="1"/>
        <v>14.4</v>
      </c>
      <c r="J7" s="20">
        <v>43103</v>
      </c>
      <c r="K7" s="19" t="s">
        <v>26</v>
      </c>
      <c r="L7" s="23">
        <v>90</v>
      </c>
      <c r="M7" s="19" t="s">
        <v>27</v>
      </c>
      <c r="N7" s="41">
        <v>1.4</v>
      </c>
      <c r="O7" s="23"/>
      <c r="Q7" s="48" t="s">
        <v>25</v>
      </c>
      <c r="R7" s="48">
        <f>SUMIF(G6:G19,Q7,H6:H19)</f>
        <v>60.6</v>
      </c>
      <c r="S7" s="48" t="s">
        <v>29</v>
      </c>
      <c r="T7" s="48">
        <f t="shared" si="2"/>
        <v>344</v>
      </c>
      <c r="U7" s="48" t="s">
        <v>30</v>
      </c>
      <c r="V7" s="49">
        <f t="shared" ref="V7:V10" si="3">ROUND($V$6*W7,1)</f>
        <v>632.1</v>
      </c>
      <c r="W7" s="51">
        <v>0.35</v>
      </c>
    </row>
    <row r="8" spans="1:23">
      <c r="A8" s="19">
        <v>3</v>
      </c>
      <c r="B8" s="20">
        <v>43109</v>
      </c>
      <c r="C8" s="21">
        <v>1.9</v>
      </c>
      <c r="D8" s="22">
        <v>1</v>
      </c>
      <c r="E8" s="23">
        <v>259.2</v>
      </c>
      <c r="F8" s="24" t="s">
        <v>57</v>
      </c>
      <c r="G8" s="19" t="s">
        <v>27</v>
      </c>
      <c r="H8" s="25">
        <f t="shared" si="1"/>
        <v>13</v>
      </c>
      <c r="J8" s="20">
        <v>43105</v>
      </c>
      <c r="K8" s="19" t="s">
        <v>26</v>
      </c>
      <c r="L8" s="23">
        <v>90</v>
      </c>
      <c r="M8" s="19" t="s">
        <v>27</v>
      </c>
      <c r="N8" s="41">
        <v>1.5</v>
      </c>
      <c r="O8" s="23"/>
      <c r="Q8" s="48" t="s">
        <v>32</v>
      </c>
      <c r="R8" s="48">
        <f>SUMIF(G6:G19,Q8,H6:H19)</f>
        <v>0</v>
      </c>
      <c r="S8" s="48" t="s">
        <v>33</v>
      </c>
      <c r="T8" s="48">
        <f t="shared" si="2"/>
        <v>43.7</v>
      </c>
      <c r="U8" s="48" t="s">
        <v>32</v>
      </c>
      <c r="V8" s="49">
        <f t="shared" si="3"/>
        <v>632.1</v>
      </c>
      <c r="W8" s="51">
        <v>0.35</v>
      </c>
    </row>
    <row r="9" spans="1:23">
      <c r="A9" s="19">
        <v>4</v>
      </c>
      <c r="B9" s="20">
        <v>43110</v>
      </c>
      <c r="C9" s="34">
        <v>1.1</v>
      </c>
      <c r="D9" s="22">
        <v>1</v>
      </c>
      <c r="E9" s="23">
        <v>144</v>
      </c>
      <c r="F9" s="24" t="s">
        <v>46</v>
      </c>
      <c r="G9" s="19" t="s">
        <v>25</v>
      </c>
      <c r="H9" s="25">
        <f t="shared" si="1"/>
        <v>7.2</v>
      </c>
      <c r="J9" s="20">
        <v>43110</v>
      </c>
      <c r="K9" s="19" t="s">
        <v>26</v>
      </c>
      <c r="L9" s="23">
        <v>90</v>
      </c>
      <c r="M9" s="19"/>
      <c r="N9" s="42">
        <v>1.1</v>
      </c>
      <c r="O9" s="23"/>
      <c r="Q9" s="48" t="s">
        <v>35</v>
      </c>
      <c r="R9" s="48">
        <f>SUMIF(G6:G19,Q9,H6:H19)</f>
        <v>0</v>
      </c>
      <c r="S9" s="48" t="s">
        <v>36</v>
      </c>
      <c r="T9" s="48">
        <f t="shared" si="2"/>
        <v>0</v>
      </c>
      <c r="U9" s="48" t="s">
        <v>27</v>
      </c>
      <c r="V9" s="49">
        <f t="shared" si="3"/>
        <v>180.6</v>
      </c>
      <c r="W9" s="51">
        <v>0.1</v>
      </c>
    </row>
    <row r="10" spans="1:23">
      <c r="A10" s="19">
        <v>5</v>
      </c>
      <c r="B10" s="20">
        <v>43113</v>
      </c>
      <c r="C10" s="21">
        <v>1.13</v>
      </c>
      <c r="D10" s="22">
        <v>1</v>
      </c>
      <c r="E10" s="23">
        <v>259.2</v>
      </c>
      <c r="F10" s="24" t="s">
        <v>46</v>
      </c>
      <c r="G10" s="19" t="s">
        <v>25</v>
      </c>
      <c r="H10" s="25">
        <f t="shared" si="1"/>
        <v>13</v>
      </c>
      <c r="J10" s="20">
        <v>43111</v>
      </c>
      <c r="K10" s="19" t="s">
        <v>26</v>
      </c>
      <c r="L10" s="23">
        <v>70</v>
      </c>
      <c r="M10" s="19" t="s">
        <v>27</v>
      </c>
      <c r="N10" s="41">
        <v>1.12</v>
      </c>
      <c r="O10" s="23"/>
      <c r="Q10" s="48" t="s">
        <v>30</v>
      </c>
      <c r="R10" s="48">
        <f>SUMIF(G6:G19,Q10,H6:H19)</f>
        <v>0</v>
      </c>
      <c r="S10" s="48" t="s">
        <v>38</v>
      </c>
      <c r="T10" s="48">
        <f t="shared" si="2"/>
        <v>0</v>
      </c>
      <c r="U10" s="48" t="s">
        <v>91</v>
      </c>
      <c r="V10" s="49">
        <f t="shared" si="3"/>
        <v>361.2</v>
      </c>
      <c r="W10" s="51">
        <v>0.2</v>
      </c>
    </row>
    <row r="11" spans="1:23">
      <c r="A11" s="19">
        <v>6</v>
      </c>
      <c r="B11" s="20">
        <v>43112</v>
      </c>
      <c r="C11" s="21" t="s">
        <v>92</v>
      </c>
      <c r="D11" s="22">
        <v>2</v>
      </c>
      <c r="E11" s="23">
        <v>518.4</v>
      </c>
      <c r="F11" s="24" t="s">
        <v>24</v>
      </c>
      <c r="G11" s="19" t="s">
        <v>27</v>
      </c>
      <c r="H11" s="25">
        <f t="shared" si="1"/>
        <v>25.9</v>
      </c>
      <c r="J11" s="20">
        <v>43113</v>
      </c>
      <c r="K11" s="19" t="s">
        <v>26</v>
      </c>
      <c r="L11" s="23">
        <v>90</v>
      </c>
      <c r="M11" s="19" t="s">
        <v>27</v>
      </c>
      <c r="N11" s="41">
        <v>1.14</v>
      </c>
      <c r="O11" s="23"/>
      <c r="Q11" s="48" t="s">
        <v>39</v>
      </c>
      <c r="R11" s="48">
        <f>SUMIF(G6:G19,Q11,H6:H19)</f>
        <v>23.2</v>
      </c>
      <c r="S11" s="48" t="s">
        <v>40</v>
      </c>
      <c r="T11" s="48">
        <f t="shared" si="2"/>
        <v>0</v>
      </c>
      <c r="U11" s="48"/>
      <c r="V11" s="48"/>
      <c r="W11" s="50"/>
    </row>
    <row r="12" spans="1:15">
      <c r="A12" s="19">
        <v>7</v>
      </c>
      <c r="B12" s="20">
        <v>43120</v>
      </c>
      <c r="C12" s="34">
        <v>1.2</v>
      </c>
      <c r="D12" s="22">
        <v>1</v>
      </c>
      <c r="E12" s="23">
        <f>259*0.9</f>
        <v>233.1</v>
      </c>
      <c r="F12" s="26" t="s">
        <v>57</v>
      </c>
      <c r="G12" s="19" t="s">
        <v>27</v>
      </c>
      <c r="H12" s="25">
        <f t="shared" si="1"/>
        <v>11.7</v>
      </c>
      <c r="J12" s="20">
        <v>43117</v>
      </c>
      <c r="K12" s="19" t="s">
        <v>33</v>
      </c>
      <c r="L12" s="23">
        <v>15.8</v>
      </c>
      <c r="M12" s="19" t="s">
        <v>32</v>
      </c>
      <c r="N12" s="41" t="s">
        <v>93</v>
      </c>
      <c r="O12" s="23"/>
    </row>
    <row r="13" spans="1:15">
      <c r="A13" s="19">
        <v>8</v>
      </c>
      <c r="B13" s="20">
        <v>43069</v>
      </c>
      <c r="C13" s="20" t="s">
        <v>94</v>
      </c>
      <c r="D13" s="22">
        <v>2</v>
      </c>
      <c r="E13" s="25">
        <v>464.4</v>
      </c>
      <c r="F13" s="24" t="s">
        <v>46</v>
      </c>
      <c r="G13" s="19" t="s">
        <v>39</v>
      </c>
      <c r="H13" s="25">
        <f t="shared" si="1"/>
        <v>23.2</v>
      </c>
      <c r="J13" s="20">
        <v>43117</v>
      </c>
      <c r="K13" s="19" t="s">
        <v>33</v>
      </c>
      <c r="L13" s="23">
        <v>12.9</v>
      </c>
      <c r="M13" s="19" t="s">
        <v>32</v>
      </c>
      <c r="N13" s="41" t="s">
        <v>95</v>
      </c>
      <c r="O13" s="23"/>
    </row>
    <row r="14" spans="1:15">
      <c r="A14" s="19">
        <v>9</v>
      </c>
      <c r="B14" s="20">
        <v>43126</v>
      </c>
      <c r="C14" s="21">
        <v>1.26</v>
      </c>
      <c r="D14" s="22">
        <v>1</v>
      </c>
      <c r="E14" s="23">
        <v>259.2</v>
      </c>
      <c r="F14" s="24" t="s">
        <v>57</v>
      </c>
      <c r="G14" s="19" t="s">
        <v>27</v>
      </c>
      <c r="H14" s="25">
        <f t="shared" si="1"/>
        <v>13</v>
      </c>
      <c r="J14" s="20">
        <v>43118</v>
      </c>
      <c r="K14" s="19" t="s">
        <v>26</v>
      </c>
      <c r="L14" s="23">
        <v>90</v>
      </c>
      <c r="M14" s="19" t="s">
        <v>27</v>
      </c>
      <c r="N14" s="42">
        <v>1.2</v>
      </c>
      <c r="O14" s="23"/>
    </row>
    <row r="15" spans="1:15">
      <c r="A15" s="19"/>
      <c r="B15" s="20">
        <v>43127</v>
      </c>
      <c r="C15" s="21">
        <v>1.27</v>
      </c>
      <c r="D15" s="22">
        <v>1</v>
      </c>
      <c r="E15" s="23">
        <v>292</v>
      </c>
      <c r="F15" s="24" t="s">
        <v>37</v>
      </c>
      <c r="G15" s="19" t="s">
        <v>27</v>
      </c>
      <c r="H15" s="25">
        <f t="shared" si="1"/>
        <v>14.6</v>
      </c>
      <c r="J15" s="20">
        <v>43120</v>
      </c>
      <c r="K15" s="19" t="s">
        <v>29</v>
      </c>
      <c r="L15" s="23">
        <v>200</v>
      </c>
      <c r="M15" s="19" t="s">
        <v>30</v>
      </c>
      <c r="N15" s="41" t="s">
        <v>96</v>
      </c>
      <c r="O15" s="23"/>
    </row>
    <row r="16" spans="1:15">
      <c r="A16" s="19"/>
      <c r="B16" s="20">
        <v>43131</v>
      </c>
      <c r="C16" s="21">
        <v>1.31</v>
      </c>
      <c r="D16" s="22">
        <v>1</v>
      </c>
      <c r="E16" s="23">
        <v>259.1</v>
      </c>
      <c r="F16" s="24" t="s">
        <v>46</v>
      </c>
      <c r="G16" s="19" t="s">
        <v>25</v>
      </c>
      <c r="H16" s="25">
        <f t="shared" si="1"/>
        <v>13</v>
      </c>
      <c r="J16" s="20">
        <v>43120</v>
      </c>
      <c r="K16" s="19" t="s">
        <v>26</v>
      </c>
      <c r="L16" s="23">
        <v>90</v>
      </c>
      <c r="M16" s="19" t="s">
        <v>27</v>
      </c>
      <c r="N16" s="41">
        <v>1.21</v>
      </c>
      <c r="O16" s="23"/>
    </row>
    <row r="17" spans="1:15">
      <c r="A17" s="19">
        <v>10</v>
      </c>
      <c r="B17" s="20"/>
      <c r="C17" s="20"/>
      <c r="D17" s="22"/>
      <c r="E17" s="23"/>
      <c r="F17" s="24" t="s">
        <v>43</v>
      </c>
      <c r="G17" s="19"/>
      <c r="H17" s="19"/>
      <c r="J17" s="20">
        <v>43125</v>
      </c>
      <c r="K17" s="19" t="s">
        <v>26</v>
      </c>
      <c r="L17" s="23">
        <v>90</v>
      </c>
      <c r="M17" s="19" t="s">
        <v>27</v>
      </c>
      <c r="N17" s="41">
        <v>1.25</v>
      </c>
      <c r="O17" s="23"/>
    </row>
    <row r="18" spans="1:15">
      <c r="A18" s="19"/>
      <c r="B18" s="20"/>
      <c r="C18" s="20"/>
      <c r="D18" s="22"/>
      <c r="E18" s="23"/>
      <c r="F18" s="24"/>
      <c r="G18" s="19"/>
      <c r="H18" s="19"/>
      <c r="J18" s="20">
        <v>43126</v>
      </c>
      <c r="K18" s="19" t="s">
        <v>26</v>
      </c>
      <c r="L18" s="23">
        <v>90</v>
      </c>
      <c r="M18" s="19" t="s">
        <v>27</v>
      </c>
      <c r="N18" s="41">
        <v>1.27</v>
      </c>
      <c r="O18" s="23"/>
    </row>
    <row r="19" spans="1:15">
      <c r="A19" s="19"/>
      <c r="B19" s="20"/>
      <c r="C19" s="20"/>
      <c r="D19" s="22"/>
      <c r="E19" s="23"/>
      <c r="F19" s="24"/>
      <c r="G19" s="19"/>
      <c r="H19" s="19"/>
      <c r="J19" s="20">
        <v>43126</v>
      </c>
      <c r="K19" s="19" t="s">
        <v>29</v>
      </c>
      <c r="L19" s="23">
        <v>100</v>
      </c>
      <c r="M19" s="19" t="s">
        <v>30</v>
      </c>
      <c r="N19" s="41" t="s">
        <v>96</v>
      </c>
      <c r="O19" s="23"/>
    </row>
    <row r="20" spans="1:15">
      <c r="A20" s="19"/>
      <c r="B20" s="20"/>
      <c r="C20" s="20"/>
      <c r="D20" s="22"/>
      <c r="E20" s="23"/>
      <c r="F20" s="24"/>
      <c r="G20" s="19"/>
      <c r="H20" s="19"/>
      <c r="J20" s="20">
        <v>43131</v>
      </c>
      <c r="K20" s="19" t="s">
        <v>26</v>
      </c>
      <c r="L20" s="23">
        <v>90</v>
      </c>
      <c r="M20" s="19" t="s">
        <v>27</v>
      </c>
      <c r="N20" s="41">
        <v>2.1</v>
      </c>
      <c r="O20" s="23"/>
    </row>
    <row r="21" spans="1:15">
      <c r="A21" s="19">
        <v>11</v>
      </c>
      <c r="B21" s="20"/>
      <c r="C21" s="20"/>
      <c r="D21" s="22"/>
      <c r="E21" s="23"/>
      <c r="F21" s="24" t="s">
        <v>43</v>
      </c>
      <c r="G21" s="19"/>
      <c r="H21" s="19"/>
      <c r="J21" s="20">
        <v>43131</v>
      </c>
      <c r="K21" s="19" t="s">
        <v>29</v>
      </c>
      <c r="L21" s="23">
        <v>44</v>
      </c>
      <c r="M21" s="19" t="s">
        <v>30</v>
      </c>
      <c r="N21" s="41" t="s">
        <v>48</v>
      </c>
      <c r="O21" s="23"/>
    </row>
    <row r="22" ht="30" customHeight="1" spans="1:23">
      <c r="A22" s="12" t="s">
        <v>49</v>
      </c>
      <c r="B22" s="13"/>
      <c r="C22" s="14"/>
      <c r="D22" s="15">
        <f t="shared" ref="D22:H22" si="4">SUM(D23:D33)</f>
        <v>13</v>
      </c>
      <c r="E22" s="16">
        <f t="shared" si="4"/>
        <v>5326.2</v>
      </c>
      <c r="F22" s="14"/>
      <c r="G22" s="14"/>
      <c r="H22" s="16">
        <f t="shared" si="4"/>
        <v>266.2</v>
      </c>
      <c r="J22" s="14"/>
      <c r="K22" s="14"/>
      <c r="L22" s="16">
        <f>SUM(L23:L33)</f>
        <v>2364</v>
      </c>
      <c r="M22" s="14"/>
      <c r="N22" s="14"/>
      <c r="O22" s="16">
        <f>E22-H22-L22</f>
        <v>2696</v>
      </c>
      <c r="Q22" s="48"/>
      <c r="R22" s="48">
        <f>SUM(R23:R28)</f>
        <v>266.2</v>
      </c>
      <c r="S22" s="48"/>
      <c r="T22" s="49">
        <f>SUM(T23:T28)</f>
        <v>2364</v>
      </c>
      <c r="U22" s="48"/>
      <c r="V22" s="48"/>
      <c r="W22" s="50"/>
    </row>
    <row r="23" spans="1:23">
      <c r="A23" s="19">
        <v>1</v>
      </c>
      <c r="B23" s="20">
        <v>43133</v>
      </c>
      <c r="C23" s="21" t="s">
        <v>97</v>
      </c>
      <c r="D23" s="22">
        <v>3</v>
      </c>
      <c r="E23" s="23">
        <v>858.6</v>
      </c>
      <c r="F23" s="27" t="s">
        <v>24</v>
      </c>
      <c r="G23" s="19" t="s">
        <v>35</v>
      </c>
      <c r="H23" s="25">
        <f t="shared" ref="H23:H30" si="5">ROUND(E23*0.05,1)</f>
        <v>42.9</v>
      </c>
      <c r="J23" s="20">
        <v>43133</v>
      </c>
      <c r="K23" s="19" t="s">
        <v>29</v>
      </c>
      <c r="L23" s="23">
        <v>500</v>
      </c>
      <c r="M23" s="19" t="s">
        <v>30</v>
      </c>
      <c r="N23" s="41" t="s">
        <v>96</v>
      </c>
      <c r="O23" s="23"/>
      <c r="Q23" s="48" t="s">
        <v>27</v>
      </c>
      <c r="R23" s="48">
        <f t="shared" ref="R23:R28" si="6">SUMIF($G$23:$G$33,Q23,$H$23:$H$33)</f>
        <v>88</v>
      </c>
      <c r="S23" s="48" t="s">
        <v>26</v>
      </c>
      <c r="T23" s="48">
        <f t="shared" ref="T23:T28" si="7">SUMIF($K$23:$K$33,S23,$L$23:$L$33)</f>
        <v>990</v>
      </c>
      <c r="U23" s="48" t="s">
        <v>28</v>
      </c>
      <c r="V23" s="49">
        <f>O22</f>
        <v>2696</v>
      </c>
      <c r="W23" s="50"/>
    </row>
    <row r="24" spans="1:23">
      <c r="A24" s="19">
        <v>2</v>
      </c>
      <c r="B24" s="20">
        <v>43133</v>
      </c>
      <c r="C24" s="21">
        <v>2.9</v>
      </c>
      <c r="D24" s="22">
        <v>1</v>
      </c>
      <c r="E24" s="23">
        <v>286.2</v>
      </c>
      <c r="F24" s="24" t="s">
        <v>57</v>
      </c>
      <c r="G24" s="19" t="s">
        <v>27</v>
      </c>
      <c r="H24" s="25">
        <f t="shared" si="5"/>
        <v>14.3</v>
      </c>
      <c r="J24" s="20">
        <v>43133</v>
      </c>
      <c r="K24" s="19" t="s">
        <v>26</v>
      </c>
      <c r="L24" s="23">
        <v>135</v>
      </c>
      <c r="M24" s="19" t="s">
        <v>27</v>
      </c>
      <c r="N24" s="42">
        <v>2.1</v>
      </c>
      <c r="O24" s="23"/>
      <c r="Q24" s="48" t="s">
        <v>25</v>
      </c>
      <c r="R24" s="48">
        <f t="shared" si="6"/>
        <v>135.3</v>
      </c>
      <c r="S24" s="48" t="s">
        <v>29</v>
      </c>
      <c r="T24" s="48">
        <f t="shared" si="7"/>
        <v>1299</v>
      </c>
      <c r="U24" s="48" t="s">
        <v>30</v>
      </c>
      <c r="V24" s="49">
        <f>ROUND(V23*W24,1)</f>
        <v>943.6</v>
      </c>
      <c r="W24" s="51">
        <v>0.35</v>
      </c>
    </row>
    <row r="25" spans="1:23">
      <c r="A25" s="19">
        <v>3</v>
      </c>
      <c r="B25" s="20">
        <v>43127</v>
      </c>
      <c r="C25" s="21" t="s">
        <v>98</v>
      </c>
      <c r="D25" s="22">
        <v>3</v>
      </c>
      <c r="E25" s="23">
        <f>658*3*0.9</f>
        <v>1776.6</v>
      </c>
      <c r="F25" s="24" t="s">
        <v>46</v>
      </c>
      <c r="G25" s="19" t="s">
        <v>25</v>
      </c>
      <c r="H25" s="25">
        <f t="shared" si="5"/>
        <v>88.8</v>
      </c>
      <c r="J25" s="20">
        <v>43133</v>
      </c>
      <c r="K25" s="19" t="s">
        <v>26</v>
      </c>
      <c r="L25" s="23">
        <v>90</v>
      </c>
      <c r="M25" s="19" t="s">
        <v>27</v>
      </c>
      <c r="N25" s="41">
        <v>2.5</v>
      </c>
      <c r="O25" s="23"/>
      <c r="Q25" s="48" t="s">
        <v>32</v>
      </c>
      <c r="R25" s="48">
        <f t="shared" si="6"/>
        <v>0</v>
      </c>
      <c r="S25" s="48" t="s">
        <v>33</v>
      </c>
      <c r="T25" s="48">
        <f t="shared" si="7"/>
        <v>0</v>
      </c>
      <c r="U25" s="48" t="s">
        <v>32</v>
      </c>
      <c r="V25" s="49">
        <f>ROUND(V23*W25,1)</f>
        <v>943.6</v>
      </c>
      <c r="W25" s="51">
        <v>0.35</v>
      </c>
    </row>
    <row r="26" spans="1:23">
      <c r="A26" s="19">
        <v>4</v>
      </c>
      <c r="B26" s="20">
        <v>43149</v>
      </c>
      <c r="C26" s="21" t="s">
        <v>99</v>
      </c>
      <c r="D26" s="22">
        <v>2</v>
      </c>
      <c r="E26" s="23">
        <v>1170</v>
      </c>
      <c r="F26" s="24" t="s">
        <v>57</v>
      </c>
      <c r="G26" s="19" t="s">
        <v>27</v>
      </c>
      <c r="H26" s="25">
        <f t="shared" si="5"/>
        <v>58.5</v>
      </c>
      <c r="J26" s="20">
        <v>43137</v>
      </c>
      <c r="K26" s="19" t="s">
        <v>36</v>
      </c>
      <c r="L26" s="23">
        <v>75</v>
      </c>
      <c r="M26" s="19" t="s">
        <v>30</v>
      </c>
      <c r="N26" s="41" t="s">
        <v>100</v>
      </c>
      <c r="O26" s="23"/>
      <c r="Q26" s="48" t="s">
        <v>35</v>
      </c>
      <c r="R26" s="48">
        <f t="shared" si="6"/>
        <v>42.9</v>
      </c>
      <c r="S26" s="48" t="s">
        <v>36</v>
      </c>
      <c r="T26" s="48">
        <f t="shared" si="7"/>
        <v>75</v>
      </c>
      <c r="U26" s="48" t="s">
        <v>27</v>
      </c>
      <c r="V26" s="49">
        <f>ROUND(V23*W26,1)</f>
        <v>269.6</v>
      </c>
      <c r="W26" s="51">
        <v>0.1</v>
      </c>
    </row>
    <row r="27" spans="1:23">
      <c r="A27" s="19">
        <v>5</v>
      </c>
      <c r="B27" s="20">
        <v>43153</v>
      </c>
      <c r="C27" s="21">
        <v>2.22</v>
      </c>
      <c r="D27" s="22">
        <v>1</v>
      </c>
      <c r="E27" s="23">
        <v>286.2</v>
      </c>
      <c r="F27" s="24" t="s">
        <v>46</v>
      </c>
      <c r="G27" s="19" t="s">
        <v>25</v>
      </c>
      <c r="H27" s="25">
        <f t="shared" si="5"/>
        <v>14.3</v>
      </c>
      <c r="J27" s="20">
        <v>43138</v>
      </c>
      <c r="K27" s="19" t="s">
        <v>29</v>
      </c>
      <c r="L27" s="23">
        <v>599</v>
      </c>
      <c r="M27" s="19" t="s">
        <v>30</v>
      </c>
      <c r="N27" s="41" t="s">
        <v>101</v>
      </c>
      <c r="O27" s="23"/>
      <c r="Q27" s="48" t="s">
        <v>30</v>
      </c>
      <c r="R27" s="48">
        <f t="shared" si="6"/>
        <v>0</v>
      </c>
      <c r="S27" s="48" t="s">
        <v>38</v>
      </c>
      <c r="T27" s="48">
        <f t="shared" si="7"/>
        <v>0</v>
      </c>
      <c r="U27" s="48" t="s">
        <v>91</v>
      </c>
      <c r="V27" s="49">
        <f>ROUND(V23*W27,1)</f>
        <v>539.2</v>
      </c>
      <c r="W27" s="51">
        <v>0.2</v>
      </c>
    </row>
    <row r="28" spans="1:23">
      <c r="A28" s="19">
        <v>6</v>
      </c>
      <c r="B28" s="20">
        <v>43153</v>
      </c>
      <c r="C28" s="21" t="s">
        <v>102</v>
      </c>
      <c r="D28" s="22">
        <v>2</v>
      </c>
      <c r="E28" s="23">
        <v>644.4</v>
      </c>
      <c r="F28" s="24" t="s">
        <v>46</v>
      </c>
      <c r="G28" s="19" t="s">
        <v>25</v>
      </c>
      <c r="H28" s="25">
        <f t="shared" si="5"/>
        <v>32.2</v>
      </c>
      <c r="J28" s="20">
        <v>43150</v>
      </c>
      <c r="K28" s="19" t="s">
        <v>29</v>
      </c>
      <c r="L28" s="23">
        <v>200</v>
      </c>
      <c r="M28" s="19" t="s">
        <v>30</v>
      </c>
      <c r="N28" s="41" t="s">
        <v>96</v>
      </c>
      <c r="O28" s="23"/>
      <c r="Q28" s="48" t="s">
        <v>39</v>
      </c>
      <c r="R28" s="48">
        <f t="shared" si="6"/>
        <v>0</v>
      </c>
      <c r="S28" s="48" t="s">
        <v>40</v>
      </c>
      <c r="T28" s="48">
        <f t="shared" si="7"/>
        <v>0</v>
      </c>
      <c r="U28" s="48"/>
      <c r="V28" s="48"/>
      <c r="W28" s="50"/>
    </row>
    <row r="29" spans="1:15">
      <c r="A29" s="19">
        <v>7</v>
      </c>
      <c r="B29" s="20">
        <v>43157</v>
      </c>
      <c r="C29" s="21">
        <v>2.26</v>
      </c>
      <c r="D29" s="22">
        <v>1</v>
      </c>
      <c r="E29" s="23">
        <v>304.2</v>
      </c>
      <c r="F29" s="27" t="s">
        <v>57</v>
      </c>
      <c r="G29" s="19" t="s">
        <v>27</v>
      </c>
      <c r="H29" s="25">
        <f t="shared" si="5"/>
        <v>15.2</v>
      </c>
      <c r="J29" s="20">
        <v>43150</v>
      </c>
      <c r="K29" s="19" t="s">
        <v>26</v>
      </c>
      <c r="L29" s="23">
        <v>180</v>
      </c>
      <c r="M29" s="19" t="s">
        <v>32</v>
      </c>
      <c r="N29" s="41" t="s">
        <v>56</v>
      </c>
      <c r="O29" s="23"/>
    </row>
    <row r="30" spans="1:15">
      <c r="A30" s="19">
        <v>8</v>
      </c>
      <c r="B30" s="20"/>
      <c r="C30" s="21"/>
      <c r="D30" s="22"/>
      <c r="E30" s="23"/>
      <c r="F30" s="24"/>
      <c r="G30" s="19"/>
      <c r="H30" s="25"/>
      <c r="J30" s="20">
        <v>43153</v>
      </c>
      <c r="K30" s="19" t="s">
        <v>26</v>
      </c>
      <c r="L30" s="23">
        <v>180</v>
      </c>
      <c r="M30" s="19" t="s">
        <v>32</v>
      </c>
      <c r="N30" s="41" t="s">
        <v>56</v>
      </c>
      <c r="O30" s="23"/>
    </row>
    <row r="31" spans="1:15">
      <c r="A31" s="19">
        <v>9</v>
      </c>
      <c r="B31" s="20"/>
      <c r="C31" s="20"/>
      <c r="D31" s="22"/>
      <c r="E31" s="23"/>
      <c r="F31" s="24"/>
      <c r="G31" s="19"/>
      <c r="H31" s="19"/>
      <c r="J31" s="20">
        <v>43154</v>
      </c>
      <c r="K31" s="19" t="s">
        <v>26</v>
      </c>
      <c r="L31" s="23">
        <f t="shared" ref="L31:L33" si="8">90*1.5</f>
        <v>135</v>
      </c>
      <c r="M31" s="19" t="s">
        <v>32</v>
      </c>
      <c r="N31" s="41" t="s">
        <v>56</v>
      </c>
      <c r="O31" s="23"/>
    </row>
    <row r="32" spans="1:15">
      <c r="A32" s="19">
        <v>10</v>
      </c>
      <c r="B32" s="20"/>
      <c r="C32" s="20"/>
      <c r="D32" s="22"/>
      <c r="E32" s="23"/>
      <c r="F32" s="24"/>
      <c r="G32" s="19"/>
      <c r="H32" s="19"/>
      <c r="J32" s="20">
        <v>43156</v>
      </c>
      <c r="K32" s="19" t="s">
        <v>26</v>
      </c>
      <c r="L32" s="23">
        <f t="shared" si="8"/>
        <v>135</v>
      </c>
      <c r="M32" s="19" t="s">
        <v>32</v>
      </c>
      <c r="N32" s="41" t="s">
        <v>56</v>
      </c>
      <c r="O32" s="23"/>
    </row>
    <row r="33" spans="1:15">
      <c r="A33" s="19">
        <v>11</v>
      </c>
      <c r="B33" s="20"/>
      <c r="C33" s="20"/>
      <c r="D33" s="22"/>
      <c r="E33" s="23"/>
      <c r="F33" s="24"/>
      <c r="G33" s="19"/>
      <c r="H33" s="19"/>
      <c r="J33" s="20">
        <v>43158</v>
      </c>
      <c r="K33" s="19" t="s">
        <v>26</v>
      </c>
      <c r="L33" s="23">
        <f t="shared" si="8"/>
        <v>135</v>
      </c>
      <c r="M33" s="19" t="s">
        <v>32</v>
      </c>
      <c r="N33" s="41" t="s">
        <v>56</v>
      </c>
      <c r="O33" s="23"/>
    </row>
    <row r="34" ht="30" customHeight="1" spans="1:20">
      <c r="A34" s="12" t="s">
        <v>60</v>
      </c>
      <c r="B34" s="13"/>
      <c r="C34" s="14"/>
      <c r="D34" s="15">
        <f t="shared" ref="D34:H34" si="9">SUM(D35:D45)</f>
        <v>15</v>
      </c>
      <c r="E34" s="16">
        <f t="shared" si="9"/>
        <v>4371.8</v>
      </c>
      <c r="F34" s="14"/>
      <c r="G34" s="14"/>
      <c r="H34" s="16">
        <f t="shared" si="9"/>
        <v>218.5</v>
      </c>
      <c r="J34" s="14"/>
      <c r="K34" s="14"/>
      <c r="L34" s="16">
        <f>SUM(L35:L45)</f>
        <v>804</v>
      </c>
      <c r="M34" s="14"/>
      <c r="N34" s="14"/>
      <c r="O34" s="16">
        <f>E34-H34-L34</f>
        <v>3349.3</v>
      </c>
      <c r="R34" s="48">
        <f>SUM(R35:R40)</f>
        <v>218.5</v>
      </c>
      <c r="S34" s="48"/>
      <c r="T34" s="49">
        <f>SUM(T35:T40)</f>
        <v>804</v>
      </c>
    </row>
    <row r="35" spans="1:23">
      <c r="A35" s="19">
        <v>1</v>
      </c>
      <c r="B35" s="20">
        <v>43160</v>
      </c>
      <c r="C35" s="21" t="s">
        <v>103</v>
      </c>
      <c r="D35" s="22">
        <v>2</v>
      </c>
      <c r="E35" s="23">
        <v>608.4</v>
      </c>
      <c r="F35" s="24" t="s">
        <v>24</v>
      </c>
      <c r="G35" s="19" t="s">
        <v>27</v>
      </c>
      <c r="H35" s="25">
        <v>30.4</v>
      </c>
      <c r="J35" s="40">
        <v>43160</v>
      </c>
      <c r="K35" s="19" t="s">
        <v>36</v>
      </c>
      <c r="L35" s="23">
        <v>95</v>
      </c>
      <c r="M35" s="40" t="s">
        <v>30</v>
      </c>
      <c r="N35" s="19" t="s">
        <v>104</v>
      </c>
      <c r="O35" s="23"/>
      <c r="Q35" s="48" t="s">
        <v>27</v>
      </c>
      <c r="R35" s="48">
        <f t="shared" ref="R35:R40" si="10">SUMIF($G$35:$G$45,Q35,$H$35:$H$45)</f>
        <v>188.1</v>
      </c>
      <c r="S35" s="48" t="s">
        <v>26</v>
      </c>
      <c r="T35" s="48">
        <f t="shared" ref="T35:T40" si="11">SUMIF($K$35:$K$45,S35,$L$35:$L$45)</f>
        <v>450</v>
      </c>
      <c r="U35" s="48" t="s">
        <v>28</v>
      </c>
      <c r="V35" s="49">
        <f>O34</f>
        <v>3349.3</v>
      </c>
      <c r="W35" s="50"/>
    </row>
    <row r="36" spans="1:23">
      <c r="A36" s="19">
        <v>2</v>
      </c>
      <c r="B36" s="20">
        <v>43161</v>
      </c>
      <c r="C36" s="21">
        <v>3.2</v>
      </c>
      <c r="D36" s="22">
        <v>1</v>
      </c>
      <c r="E36" s="23">
        <v>304.2</v>
      </c>
      <c r="F36" s="24" t="s">
        <v>24</v>
      </c>
      <c r="G36" s="19" t="s">
        <v>27</v>
      </c>
      <c r="H36" s="25">
        <v>15.2</v>
      </c>
      <c r="J36" s="20">
        <v>43162</v>
      </c>
      <c r="K36" s="19" t="s">
        <v>26</v>
      </c>
      <c r="L36" s="23">
        <v>90</v>
      </c>
      <c r="M36" s="20" t="s">
        <v>32</v>
      </c>
      <c r="N36" s="19" t="s">
        <v>56</v>
      </c>
      <c r="O36" s="23"/>
      <c r="Q36" s="48" t="s">
        <v>25</v>
      </c>
      <c r="R36" s="48">
        <f t="shared" si="10"/>
        <v>30.4</v>
      </c>
      <c r="S36" s="48" t="s">
        <v>29</v>
      </c>
      <c r="T36" s="48">
        <f t="shared" si="11"/>
        <v>247</v>
      </c>
      <c r="U36" s="48" t="s">
        <v>30</v>
      </c>
      <c r="V36" s="49">
        <f>ROUND(V35*W36,1)</f>
        <v>1172.3</v>
      </c>
      <c r="W36" s="51">
        <v>0.35</v>
      </c>
    </row>
    <row r="37" spans="1:23">
      <c r="A37" s="19">
        <v>3</v>
      </c>
      <c r="B37" s="20">
        <v>43163</v>
      </c>
      <c r="C37" s="21">
        <v>3.7</v>
      </c>
      <c r="D37" s="22">
        <v>1</v>
      </c>
      <c r="E37" s="23">
        <v>338</v>
      </c>
      <c r="F37" s="24" t="s">
        <v>37</v>
      </c>
      <c r="G37" s="19" t="s">
        <v>27</v>
      </c>
      <c r="H37" s="25">
        <v>16.9</v>
      </c>
      <c r="J37" s="20">
        <v>43166</v>
      </c>
      <c r="K37" s="19" t="s">
        <v>26</v>
      </c>
      <c r="L37" s="23">
        <v>90</v>
      </c>
      <c r="M37" s="20" t="s">
        <v>27</v>
      </c>
      <c r="N37" s="19">
        <v>3.8</v>
      </c>
      <c r="O37" s="23"/>
      <c r="Q37" s="48" t="s">
        <v>32</v>
      </c>
      <c r="R37" s="48">
        <f t="shared" si="10"/>
        <v>0</v>
      </c>
      <c r="S37" s="48" t="s">
        <v>33</v>
      </c>
      <c r="T37" s="48">
        <f t="shared" si="11"/>
        <v>0</v>
      </c>
      <c r="U37" s="48" t="s">
        <v>32</v>
      </c>
      <c r="V37" s="49">
        <f>ROUND(V35*W37,1)</f>
        <v>1172.3</v>
      </c>
      <c r="W37" s="51">
        <v>0.35</v>
      </c>
    </row>
    <row r="38" spans="1:23">
      <c r="A38" s="19">
        <v>4</v>
      </c>
      <c r="B38" s="20">
        <v>43137</v>
      </c>
      <c r="C38" s="21">
        <v>3.15</v>
      </c>
      <c r="D38" s="22">
        <v>1</v>
      </c>
      <c r="E38" s="23">
        <v>304.2</v>
      </c>
      <c r="F38" s="24" t="s">
        <v>24</v>
      </c>
      <c r="G38" s="19" t="s">
        <v>27</v>
      </c>
      <c r="H38" s="25">
        <f t="shared" ref="H38:H41" si="12">ROUND(E38*0.05,1)</f>
        <v>15.2</v>
      </c>
      <c r="J38" s="20">
        <v>43178</v>
      </c>
      <c r="K38" s="19" t="s">
        <v>29</v>
      </c>
      <c r="L38" s="23">
        <v>47</v>
      </c>
      <c r="M38" s="20" t="s">
        <v>32</v>
      </c>
      <c r="N38" s="19" t="s">
        <v>48</v>
      </c>
      <c r="O38" s="23"/>
      <c r="Q38" s="48" t="s">
        <v>35</v>
      </c>
      <c r="R38" s="48">
        <f t="shared" si="10"/>
        <v>0</v>
      </c>
      <c r="S38" s="48" t="s">
        <v>36</v>
      </c>
      <c r="T38" s="48">
        <f t="shared" si="11"/>
        <v>107</v>
      </c>
      <c r="U38" s="48" t="s">
        <v>27</v>
      </c>
      <c r="V38" s="49">
        <f>ROUND(V35*W38,1)</f>
        <v>334.9</v>
      </c>
      <c r="W38" s="51">
        <v>0.1</v>
      </c>
    </row>
    <row r="39" spans="1:23">
      <c r="A39" s="19">
        <v>5</v>
      </c>
      <c r="B39" s="20">
        <v>43130</v>
      </c>
      <c r="C39" s="21" t="s">
        <v>105</v>
      </c>
      <c r="D39" s="22">
        <v>2</v>
      </c>
      <c r="E39" s="23">
        <v>518.4</v>
      </c>
      <c r="F39" s="24" t="s">
        <v>24</v>
      </c>
      <c r="G39" s="19" t="s">
        <v>27</v>
      </c>
      <c r="H39" s="25">
        <f t="shared" si="12"/>
        <v>25.9</v>
      </c>
      <c r="J39" s="20">
        <v>43179</v>
      </c>
      <c r="K39" s="19" t="s">
        <v>29</v>
      </c>
      <c r="L39" s="23">
        <v>200</v>
      </c>
      <c r="M39" s="20" t="s">
        <v>30</v>
      </c>
      <c r="N39" s="19" t="s">
        <v>96</v>
      </c>
      <c r="O39" s="23"/>
      <c r="Q39" s="48" t="s">
        <v>30</v>
      </c>
      <c r="R39" s="48">
        <f t="shared" si="10"/>
        <v>0</v>
      </c>
      <c r="S39" s="48" t="s">
        <v>38</v>
      </c>
      <c r="T39" s="48">
        <f t="shared" si="11"/>
        <v>0</v>
      </c>
      <c r="U39" s="48" t="s">
        <v>91</v>
      </c>
      <c r="V39" s="49">
        <f>ROUND(V35*W39,1)</f>
        <v>669.9</v>
      </c>
      <c r="W39" s="51">
        <v>0.2</v>
      </c>
    </row>
    <row r="40" spans="1:23">
      <c r="A40" s="19">
        <v>6</v>
      </c>
      <c r="B40" s="20">
        <v>43130</v>
      </c>
      <c r="C40" s="21" t="s">
        <v>106</v>
      </c>
      <c r="D40" s="22">
        <v>3</v>
      </c>
      <c r="E40" s="23">
        <v>777.6</v>
      </c>
      <c r="F40" s="24" t="s">
        <v>24</v>
      </c>
      <c r="G40" s="19" t="s">
        <v>27</v>
      </c>
      <c r="H40" s="25">
        <f t="shared" si="12"/>
        <v>38.9</v>
      </c>
      <c r="J40" s="20">
        <v>43181</v>
      </c>
      <c r="K40" s="19" t="s">
        <v>26</v>
      </c>
      <c r="L40" s="23">
        <v>90</v>
      </c>
      <c r="M40" s="20" t="s">
        <v>32</v>
      </c>
      <c r="N40" s="19" t="s">
        <v>56</v>
      </c>
      <c r="O40" s="23"/>
      <c r="Q40" s="48" t="s">
        <v>39</v>
      </c>
      <c r="R40" s="48">
        <f t="shared" si="10"/>
        <v>0</v>
      </c>
      <c r="S40" s="48" t="s">
        <v>40</v>
      </c>
      <c r="T40" s="48">
        <f t="shared" si="11"/>
        <v>0</v>
      </c>
      <c r="U40" s="48"/>
      <c r="V40" s="48"/>
      <c r="W40" s="50"/>
    </row>
    <row r="41" spans="1:15">
      <c r="A41" s="19">
        <v>7</v>
      </c>
      <c r="B41" s="20">
        <v>43179</v>
      </c>
      <c r="C41" s="21">
        <v>3.21</v>
      </c>
      <c r="D41" s="22">
        <v>1</v>
      </c>
      <c r="E41" s="23">
        <v>304.2</v>
      </c>
      <c r="F41" s="24" t="s">
        <v>24</v>
      </c>
      <c r="G41" s="19" t="s">
        <v>27</v>
      </c>
      <c r="H41" s="25">
        <f t="shared" si="12"/>
        <v>15.2</v>
      </c>
      <c r="J41" s="20">
        <v>43184</v>
      </c>
      <c r="K41" s="19" t="s">
        <v>36</v>
      </c>
      <c r="L41" s="23">
        <v>12</v>
      </c>
      <c r="M41" s="20" t="s">
        <v>30</v>
      </c>
      <c r="N41" s="19" t="s">
        <v>107</v>
      </c>
      <c r="O41" s="23"/>
    </row>
    <row r="42" spans="1:15">
      <c r="A42" s="19">
        <v>8</v>
      </c>
      <c r="B42" s="20">
        <v>43182</v>
      </c>
      <c r="C42" s="21" t="s">
        <v>108</v>
      </c>
      <c r="D42" s="22">
        <v>2</v>
      </c>
      <c r="E42" s="23">
        <v>608.4</v>
      </c>
      <c r="F42" s="24" t="s">
        <v>46</v>
      </c>
      <c r="G42" s="19" t="s">
        <v>25</v>
      </c>
      <c r="H42" s="25">
        <f t="shared" ref="H42:H50" si="13">ROUND(E42*0.05,1)</f>
        <v>30.4</v>
      </c>
      <c r="J42" s="20">
        <v>43184</v>
      </c>
      <c r="K42" s="19" t="s">
        <v>26</v>
      </c>
      <c r="L42" s="23">
        <v>90</v>
      </c>
      <c r="M42" s="20" t="s">
        <v>32</v>
      </c>
      <c r="N42" s="19" t="s">
        <v>56</v>
      </c>
      <c r="O42" s="23"/>
    </row>
    <row r="43" spans="1:15">
      <c r="A43" s="19">
        <v>9</v>
      </c>
      <c r="B43" s="20">
        <v>43185</v>
      </c>
      <c r="C43" s="21">
        <v>3.26</v>
      </c>
      <c r="D43" s="22">
        <v>1</v>
      </c>
      <c r="E43" s="23">
        <v>304.2</v>
      </c>
      <c r="F43" s="24" t="s">
        <v>24</v>
      </c>
      <c r="G43" s="19" t="s">
        <v>27</v>
      </c>
      <c r="H43" s="25">
        <f t="shared" si="13"/>
        <v>15.2</v>
      </c>
      <c r="J43" s="20">
        <v>43186</v>
      </c>
      <c r="K43" s="19" t="s">
        <v>26</v>
      </c>
      <c r="L43" s="23">
        <v>90</v>
      </c>
      <c r="M43" s="20" t="s">
        <v>32</v>
      </c>
      <c r="N43" s="19" t="s">
        <v>56</v>
      </c>
      <c r="O43" s="23"/>
    </row>
    <row r="44" spans="1:15">
      <c r="A44" s="19">
        <v>10</v>
      </c>
      <c r="B44" s="20"/>
      <c r="C44" s="34"/>
      <c r="D44" s="22"/>
      <c r="E44" s="23"/>
      <c r="F44" s="24"/>
      <c r="G44" s="19"/>
      <c r="H44" s="25"/>
      <c r="J44" s="20"/>
      <c r="K44" s="19"/>
      <c r="L44" s="23"/>
      <c r="M44" s="20"/>
      <c r="N44" s="19"/>
      <c r="O44" s="23"/>
    </row>
    <row r="45" spans="1:15">
      <c r="A45" s="19">
        <v>11</v>
      </c>
      <c r="B45" s="20">
        <v>43165</v>
      </c>
      <c r="C45" s="34">
        <v>3.31</v>
      </c>
      <c r="D45" s="22">
        <v>1</v>
      </c>
      <c r="E45" s="23">
        <v>304.2</v>
      </c>
      <c r="F45" s="24" t="s">
        <v>24</v>
      </c>
      <c r="G45" s="19" t="s">
        <v>27</v>
      </c>
      <c r="H45" s="25">
        <v>15.2</v>
      </c>
      <c r="J45" s="20"/>
      <c r="K45" s="19"/>
      <c r="L45" s="23"/>
      <c r="M45" s="20"/>
      <c r="N45" s="19"/>
      <c r="O45" s="23"/>
    </row>
    <row r="46" ht="30" customHeight="1" spans="1:15">
      <c r="A46" s="12" t="s">
        <v>70</v>
      </c>
      <c r="B46" s="13"/>
      <c r="C46" s="14"/>
      <c r="D46" s="15">
        <f t="shared" ref="D46:H46" si="14">SUM(D47:D57)</f>
        <v>26</v>
      </c>
      <c r="E46" s="16">
        <f t="shared" si="14"/>
        <v>7393.8</v>
      </c>
      <c r="F46" s="14"/>
      <c r="G46" s="14"/>
      <c r="H46" s="16">
        <f t="shared" si="14"/>
        <v>369.7</v>
      </c>
      <c r="J46" s="14"/>
      <c r="K46" s="14"/>
      <c r="L46" s="16">
        <f>SUM(L47:L57)</f>
        <v>0</v>
      </c>
      <c r="M46" s="14"/>
      <c r="N46" s="14"/>
      <c r="O46" s="16"/>
    </row>
    <row r="47" spans="1:15">
      <c r="A47" s="19">
        <v>1</v>
      </c>
      <c r="B47" s="20">
        <v>43191</v>
      </c>
      <c r="C47" s="21" t="s">
        <v>109</v>
      </c>
      <c r="D47" s="22">
        <v>12</v>
      </c>
      <c r="E47" s="23">
        <v>3600</v>
      </c>
      <c r="F47" s="24" t="s">
        <v>37</v>
      </c>
      <c r="G47" s="19" t="s">
        <v>27</v>
      </c>
      <c r="H47" s="25">
        <f t="shared" si="13"/>
        <v>180</v>
      </c>
      <c r="J47" s="40"/>
      <c r="K47" s="19"/>
      <c r="L47" s="23"/>
      <c r="M47" s="40"/>
      <c r="N47" s="19"/>
      <c r="O47" s="23"/>
    </row>
    <row r="48" spans="1:15">
      <c r="A48" s="19">
        <v>2</v>
      </c>
      <c r="B48" s="20">
        <v>43200</v>
      </c>
      <c r="C48" s="21" t="s">
        <v>110</v>
      </c>
      <c r="D48" s="22">
        <v>4</v>
      </c>
      <c r="E48" s="23">
        <v>1216.8</v>
      </c>
      <c r="F48" s="24" t="s">
        <v>57</v>
      </c>
      <c r="G48" s="19" t="s">
        <v>27</v>
      </c>
      <c r="H48" s="25">
        <f t="shared" si="13"/>
        <v>60.8</v>
      </c>
      <c r="J48" s="20"/>
      <c r="K48" s="19"/>
      <c r="L48" s="23"/>
      <c r="M48" s="20"/>
      <c r="N48" s="19"/>
      <c r="O48" s="23"/>
    </row>
    <row r="49" spans="1:15">
      <c r="A49" s="19">
        <v>3</v>
      </c>
      <c r="B49" s="20">
        <v>43210</v>
      </c>
      <c r="C49" s="34">
        <v>4.2</v>
      </c>
      <c r="D49" s="22">
        <v>1</v>
      </c>
      <c r="E49" s="23">
        <v>305.1</v>
      </c>
      <c r="F49" s="24" t="s">
        <v>46</v>
      </c>
      <c r="G49" s="19" t="s">
        <v>25</v>
      </c>
      <c r="H49" s="25">
        <f t="shared" si="13"/>
        <v>15.3</v>
      </c>
      <c r="J49" s="20"/>
      <c r="K49" s="19"/>
      <c r="L49" s="23"/>
      <c r="M49" s="20"/>
      <c r="N49" s="19"/>
      <c r="O49" s="23"/>
    </row>
    <row r="50" spans="1:15">
      <c r="A50" s="19">
        <v>4</v>
      </c>
      <c r="B50" s="20">
        <v>43211</v>
      </c>
      <c r="C50" s="21" t="s">
        <v>111</v>
      </c>
      <c r="D50" s="22">
        <v>6</v>
      </c>
      <c r="E50" s="23">
        <v>1179.3</v>
      </c>
      <c r="F50" s="24" t="s">
        <v>43</v>
      </c>
      <c r="G50" s="19" t="s">
        <v>32</v>
      </c>
      <c r="H50" s="25">
        <f t="shared" si="13"/>
        <v>59</v>
      </c>
      <c r="J50" s="20"/>
      <c r="K50" s="19"/>
      <c r="L50" s="23"/>
      <c r="M50" s="20"/>
      <c r="N50" s="19"/>
      <c r="O50" s="23"/>
    </row>
    <row r="51" spans="1:15">
      <c r="A51" s="19">
        <v>5</v>
      </c>
      <c r="B51" s="20"/>
      <c r="C51" s="20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6</v>
      </c>
      <c r="B52" s="20"/>
      <c r="C52" s="20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spans="1:15">
      <c r="A53" s="19">
        <v>7</v>
      </c>
      <c r="B53" s="20"/>
      <c r="C53" s="20"/>
      <c r="D53" s="22"/>
      <c r="E53" s="23"/>
      <c r="F53" s="24"/>
      <c r="G53" s="19"/>
      <c r="H53" s="19"/>
      <c r="J53" s="20"/>
      <c r="K53" s="19"/>
      <c r="L53" s="23"/>
      <c r="M53" s="20"/>
      <c r="N53" s="19"/>
      <c r="O53" s="23"/>
    </row>
    <row r="54" spans="1:15">
      <c r="A54" s="19">
        <v>8</v>
      </c>
      <c r="B54" s="20"/>
      <c r="C54" s="20"/>
      <c r="D54" s="22"/>
      <c r="E54" s="23"/>
      <c r="F54" s="24"/>
      <c r="G54" s="19"/>
      <c r="H54" s="19"/>
      <c r="J54" s="20"/>
      <c r="K54" s="19"/>
      <c r="L54" s="23"/>
      <c r="M54" s="20"/>
      <c r="N54" s="19"/>
      <c r="O54" s="23"/>
    </row>
    <row r="55" spans="1:15">
      <c r="A55" s="19">
        <v>9</v>
      </c>
      <c r="B55" s="20"/>
      <c r="C55" s="20"/>
      <c r="D55" s="22"/>
      <c r="E55" s="23"/>
      <c r="F55" s="24"/>
      <c r="G55" s="19"/>
      <c r="H55" s="19"/>
      <c r="J55" s="20"/>
      <c r="K55" s="19"/>
      <c r="L55" s="23"/>
      <c r="M55" s="20"/>
      <c r="N55" s="19"/>
      <c r="O55" s="23"/>
    </row>
    <row r="56" spans="1:15">
      <c r="A56" s="19">
        <v>10</v>
      </c>
      <c r="B56" s="20"/>
      <c r="C56" s="20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11</v>
      </c>
      <c r="B57" s="20">
        <v>43188</v>
      </c>
      <c r="C57" s="34" t="s">
        <v>112</v>
      </c>
      <c r="D57" s="22">
        <v>3</v>
      </c>
      <c r="E57" s="23">
        <v>1092.6</v>
      </c>
      <c r="F57" s="24" t="s">
        <v>24</v>
      </c>
      <c r="G57" s="19" t="s">
        <v>27</v>
      </c>
      <c r="H57" s="25">
        <f>ROUND(E57*0.05,1)</f>
        <v>54.6</v>
      </c>
      <c r="J57" s="20"/>
      <c r="K57" s="19"/>
      <c r="L57" s="23"/>
      <c r="M57" s="20"/>
      <c r="N57" s="19"/>
      <c r="O57" s="23"/>
    </row>
    <row r="58" ht="30" customHeight="1" spans="1:15">
      <c r="A58" s="12" t="s">
        <v>76</v>
      </c>
      <c r="B58" s="13"/>
      <c r="C58" s="14"/>
      <c r="D58" s="15">
        <f t="shared" ref="D58:H58" si="15">SUM(D59:D69)</f>
        <v>0</v>
      </c>
      <c r="E58" s="16">
        <f t="shared" si="15"/>
        <v>0</v>
      </c>
      <c r="F58" s="14"/>
      <c r="G58" s="14"/>
      <c r="H58" s="16">
        <f t="shared" si="15"/>
        <v>0</v>
      </c>
      <c r="J58" s="14"/>
      <c r="K58" s="14"/>
      <c r="L58" s="16">
        <f>SUM(L59:L69)</f>
        <v>0</v>
      </c>
      <c r="M58" s="14"/>
      <c r="N58" s="14"/>
      <c r="O58" s="16"/>
    </row>
    <row r="59" spans="1:15">
      <c r="A59" s="19">
        <v>1</v>
      </c>
      <c r="B59" s="20"/>
      <c r="C59" s="20"/>
      <c r="D59" s="22"/>
      <c r="E59" s="23"/>
      <c r="F59" s="24"/>
      <c r="G59" s="19"/>
      <c r="H59" s="19"/>
      <c r="J59" s="40"/>
      <c r="K59" s="19"/>
      <c r="L59" s="23"/>
      <c r="M59" s="40"/>
      <c r="N59" s="19"/>
      <c r="O59" s="23"/>
    </row>
    <row r="60" spans="1:15">
      <c r="A60" s="19">
        <v>2</v>
      </c>
      <c r="B60" s="20"/>
      <c r="C60" s="20"/>
      <c r="D60" s="22"/>
      <c r="E60" s="23"/>
      <c r="F60" s="19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3</v>
      </c>
      <c r="B61" s="20"/>
      <c r="C61" s="20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4</v>
      </c>
      <c r="B62" s="20"/>
      <c r="C62" s="20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5</v>
      </c>
      <c r="B63" s="20"/>
      <c r="C63" s="20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6</v>
      </c>
      <c r="B64" s="20"/>
      <c r="C64" s="20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spans="1:15">
      <c r="A65" s="19">
        <v>7</v>
      </c>
      <c r="B65" s="20"/>
      <c r="C65" s="20"/>
      <c r="D65" s="22"/>
      <c r="E65" s="23"/>
      <c r="F65" s="24"/>
      <c r="G65" s="19"/>
      <c r="H65" s="19"/>
      <c r="J65" s="20"/>
      <c r="K65" s="19"/>
      <c r="L65" s="23"/>
      <c r="M65" s="20"/>
      <c r="N65" s="19"/>
      <c r="O65" s="23"/>
    </row>
    <row r="66" spans="1:15">
      <c r="A66" s="19">
        <v>8</v>
      </c>
      <c r="B66" s="20"/>
      <c r="C66" s="20"/>
      <c r="D66" s="22"/>
      <c r="E66" s="23"/>
      <c r="F66" s="24"/>
      <c r="G66" s="19"/>
      <c r="H66" s="19"/>
      <c r="J66" s="20"/>
      <c r="K66" s="19"/>
      <c r="L66" s="23"/>
      <c r="M66" s="20"/>
      <c r="N66" s="19"/>
      <c r="O66" s="23"/>
    </row>
    <row r="67" spans="1:15">
      <c r="A67" s="19">
        <v>9</v>
      </c>
      <c r="B67" s="20"/>
      <c r="C67" s="20"/>
      <c r="D67" s="22"/>
      <c r="E67" s="23"/>
      <c r="F67" s="24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10</v>
      </c>
      <c r="B68" s="20"/>
      <c r="C68" s="20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11</v>
      </c>
      <c r="B69" s="20"/>
      <c r="C69" s="20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ht="30" customHeight="1" spans="1:15">
      <c r="A70" s="12" t="s">
        <v>80</v>
      </c>
      <c r="B70" s="13"/>
      <c r="C70" s="14"/>
      <c r="D70" s="15">
        <f t="shared" ref="D70:H70" si="16">SUM(D71:D81)</f>
        <v>0</v>
      </c>
      <c r="E70" s="16">
        <f t="shared" si="16"/>
        <v>0</v>
      </c>
      <c r="F70" s="14"/>
      <c r="G70" s="14"/>
      <c r="H70" s="16">
        <f t="shared" si="16"/>
        <v>0</v>
      </c>
      <c r="J70" s="14"/>
      <c r="K70" s="14"/>
      <c r="L70" s="16">
        <f>SUM(L71:L81)</f>
        <v>0</v>
      </c>
      <c r="M70" s="14"/>
      <c r="N70" s="14"/>
      <c r="O70" s="16"/>
    </row>
    <row r="71" spans="1:15">
      <c r="A71" s="19">
        <v>1</v>
      </c>
      <c r="B71" s="20"/>
      <c r="C71" s="20"/>
      <c r="D71" s="22"/>
      <c r="E71" s="23"/>
      <c r="F71" s="24"/>
      <c r="G71" s="19"/>
      <c r="H71" s="19"/>
      <c r="J71" s="40"/>
      <c r="K71" s="19"/>
      <c r="L71" s="23"/>
      <c r="M71" s="40"/>
      <c r="N71" s="19"/>
      <c r="O71" s="23"/>
    </row>
    <row r="72" spans="1:15">
      <c r="A72" s="19">
        <v>2</v>
      </c>
      <c r="B72" s="20"/>
      <c r="C72" s="20"/>
      <c r="D72" s="22"/>
      <c r="E72" s="23"/>
      <c r="F72" s="19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3</v>
      </c>
      <c r="B73" s="20"/>
      <c r="C73" s="20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4</v>
      </c>
      <c r="B74" s="20"/>
      <c r="C74" s="20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5</v>
      </c>
      <c r="B75" s="20"/>
      <c r="C75" s="20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6</v>
      </c>
      <c r="B76" s="20"/>
      <c r="C76" s="20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spans="1:15">
      <c r="A77" s="19">
        <v>7</v>
      </c>
      <c r="B77" s="20"/>
      <c r="C77" s="20"/>
      <c r="D77" s="22"/>
      <c r="E77" s="23"/>
      <c r="F77" s="24"/>
      <c r="G77" s="19"/>
      <c r="H77" s="19"/>
      <c r="J77" s="20"/>
      <c r="K77" s="19"/>
      <c r="L77" s="23"/>
      <c r="M77" s="20"/>
      <c r="N77" s="19"/>
      <c r="O77" s="23"/>
    </row>
    <row r="78" spans="1:15">
      <c r="A78" s="19">
        <v>8</v>
      </c>
      <c r="B78" s="20"/>
      <c r="C78" s="20"/>
      <c r="D78" s="22"/>
      <c r="E78" s="23"/>
      <c r="F78" s="24"/>
      <c r="G78" s="19"/>
      <c r="H78" s="19"/>
      <c r="J78" s="20"/>
      <c r="K78" s="19"/>
      <c r="L78" s="23"/>
      <c r="M78" s="20"/>
      <c r="N78" s="19"/>
      <c r="O78" s="23"/>
    </row>
    <row r="79" spans="1:15">
      <c r="A79" s="19">
        <v>9</v>
      </c>
      <c r="B79" s="20"/>
      <c r="C79" s="20"/>
      <c r="D79" s="22"/>
      <c r="E79" s="23"/>
      <c r="F79" s="24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10</v>
      </c>
      <c r="B80" s="20"/>
      <c r="C80" s="20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11</v>
      </c>
      <c r="B81" s="20"/>
      <c r="C81" s="20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ht="30" customHeight="1" spans="1:15">
      <c r="A82" s="12" t="s">
        <v>82</v>
      </c>
      <c r="B82" s="13"/>
      <c r="C82" s="14"/>
      <c r="D82" s="15">
        <f t="shared" ref="D82:H82" si="17">SUM(D83:D93)</f>
        <v>0</v>
      </c>
      <c r="E82" s="16">
        <f t="shared" si="17"/>
        <v>0</v>
      </c>
      <c r="F82" s="14"/>
      <c r="G82" s="14"/>
      <c r="H82" s="16">
        <f t="shared" si="17"/>
        <v>0</v>
      </c>
      <c r="J82" s="14"/>
      <c r="K82" s="14"/>
      <c r="L82" s="16">
        <f>SUM(L83:L93)</f>
        <v>0</v>
      </c>
      <c r="M82" s="14"/>
      <c r="N82" s="14"/>
      <c r="O82" s="16"/>
    </row>
    <row r="83" spans="1:15">
      <c r="A83" s="19">
        <v>1</v>
      </c>
      <c r="B83" s="20"/>
      <c r="C83" s="20"/>
      <c r="D83" s="22"/>
      <c r="E83" s="23"/>
      <c r="F83" s="24"/>
      <c r="G83" s="19"/>
      <c r="H83" s="19"/>
      <c r="J83" s="40"/>
      <c r="K83" s="19"/>
      <c r="L83" s="23"/>
      <c r="M83" s="40"/>
      <c r="N83" s="19"/>
      <c r="O83" s="23"/>
    </row>
    <row r="84" spans="1:15">
      <c r="A84" s="19">
        <v>2</v>
      </c>
      <c r="B84" s="20"/>
      <c r="C84" s="20"/>
      <c r="D84" s="22"/>
      <c r="E84" s="23"/>
      <c r="F84" s="19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3</v>
      </c>
      <c r="B85" s="20"/>
      <c r="C85" s="20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4</v>
      </c>
      <c r="B86" s="20"/>
      <c r="C86" s="20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5</v>
      </c>
      <c r="B87" s="20"/>
      <c r="C87" s="20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6</v>
      </c>
      <c r="B88" s="20"/>
      <c r="C88" s="20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spans="1:15">
      <c r="A89" s="19">
        <v>7</v>
      </c>
      <c r="B89" s="20"/>
      <c r="C89" s="20"/>
      <c r="D89" s="22"/>
      <c r="E89" s="23"/>
      <c r="F89" s="24"/>
      <c r="G89" s="19"/>
      <c r="H89" s="19"/>
      <c r="J89" s="20"/>
      <c r="K89" s="19"/>
      <c r="L89" s="23"/>
      <c r="M89" s="20"/>
      <c r="N89" s="19"/>
      <c r="O89" s="23"/>
    </row>
    <row r="90" spans="1:15">
      <c r="A90" s="19">
        <v>8</v>
      </c>
      <c r="B90" s="20"/>
      <c r="C90" s="20"/>
      <c r="D90" s="22"/>
      <c r="E90" s="23"/>
      <c r="F90" s="24"/>
      <c r="G90" s="19"/>
      <c r="H90" s="19"/>
      <c r="J90" s="20"/>
      <c r="K90" s="19"/>
      <c r="L90" s="23"/>
      <c r="M90" s="20"/>
      <c r="N90" s="19"/>
      <c r="O90" s="23"/>
    </row>
    <row r="91" spans="1:15">
      <c r="A91" s="19">
        <v>9</v>
      </c>
      <c r="B91" s="20"/>
      <c r="C91" s="20"/>
      <c r="D91" s="22"/>
      <c r="E91" s="23"/>
      <c r="F91" s="24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10</v>
      </c>
      <c r="B92" s="20"/>
      <c r="C92" s="20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11</v>
      </c>
      <c r="B93" s="20"/>
      <c r="C93" s="20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ht="30" customHeight="1" spans="1:15">
      <c r="A94" s="12" t="s">
        <v>83</v>
      </c>
      <c r="B94" s="13"/>
      <c r="C94" s="14"/>
      <c r="D94" s="15">
        <f t="shared" ref="D94:H94" si="18">SUM(D95:D105)</f>
        <v>0</v>
      </c>
      <c r="E94" s="16">
        <f t="shared" si="18"/>
        <v>0</v>
      </c>
      <c r="F94" s="14"/>
      <c r="G94" s="14"/>
      <c r="H94" s="16">
        <f t="shared" si="18"/>
        <v>0</v>
      </c>
      <c r="J94" s="14"/>
      <c r="K94" s="14"/>
      <c r="L94" s="16">
        <f>SUM(L95:L105)</f>
        <v>0</v>
      </c>
      <c r="M94" s="14"/>
      <c r="N94" s="14"/>
      <c r="O94" s="16"/>
    </row>
    <row r="95" spans="1:15">
      <c r="A95" s="19">
        <v>1</v>
      </c>
      <c r="B95" s="20"/>
      <c r="C95" s="20"/>
      <c r="D95" s="22"/>
      <c r="E95" s="23"/>
      <c r="F95" s="24"/>
      <c r="G95" s="19"/>
      <c r="H95" s="19"/>
      <c r="J95" s="40"/>
      <c r="K95" s="19"/>
      <c r="L95" s="23"/>
      <c r="M95" s="40"/>
      <c r="N95" s="19"/>
      <c r="O95" s="23"/>
    </row>
    <row r="96" spans="1:15">
      <c r="A96" s="19">
        <v>2</v>
      </c>
      <c r="B96" s="20"/>
      <c r="C96" s="20"/>
      <c r="D96" s="22"/>
      <c r="E96" s="23"/>
      <c r="F96" s="19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3</v>
      </c>
      <c r="B97" s="20"/>
      <c r="C97" s="20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4</v>
      </c>
      <c r="B98" s="20"/>
      <c r="C98" s="20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5</v>
      </c>
      <c r="B99" s="20"/>
      <c r="C99" s="20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6</v>
      </c>
      <c r="B100" s="20"/>
      <c r="C100" s="20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spans="1:15">
      <c r="A101" s="19">
        <v>7</v>
      </c>
      <c r="B101" s="20"/>
      <c r="C101" s="20"/>
      <c r="D101" s="22"/>
      <c r="E101" s="23"/>
      <c r="F101" s="24"/>
      <c r="G101" s="19"/>
      <c r="H101" s="19"/>
      <c r="J101" s="20"/>
      <c r="K101" s="19"/>
      <c r="L101" s="23"/>
      <c r="M101" s="20"/>
      <c r="N101" s="19"/>
      <c r="O101" s="23"/>
    </row>
    <row r="102" spans="1:15">
      <c r="A102" s="19">
        <v>8</v>
      </c>
      <c r="B102" s="20"/>
      <c r="C102" s="20"/>
      <c r="D102" s="22"/>
      <c r="E102" s="23"/>
      <c r="F102" s="24"/>
      <c r="G102" s="19"/>
      <c r="H102" s="19"/>
      <c r="J102" s="20"/>
      <c r="K102" s="19"/>
      <c r="L102" s="23"/>
      <c r="M102" s="20"/>
      <c r="N102" s="19"/>
      <c r="O102" s="23"/>
    </row>
    <row r="103" spans="1:15">
      <c r="A103" s="19">
        <v>9</v>
      </c>
      <c r="B103" s="20"/>
      <c r="C103" s="20"/>
      <c r="D103" s="22"/>
      <c r="E103" s="23"/>
      <c r="F103" s="24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10</v>
      </c>
      <c r="B104" s="20"/>
      <c r="C104" s="20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11</v>
      </c>
      <c r="B105" s="20"/>
      <c r="C105" s="20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ht="30" customHeight="1" spans="1:15">
      <c r="A106" s="12" t="s">
        <v>84</v>
      </c>
      <c r="B106" s="13"/>
      <c r="C106" s="14"/>
      <c r="D106" s="15">
        <f t="shared" ref="D106:H106" si="19">SUM(D107:D117)</f>
        <v>0</v>
      </c>
      <c r="E106" s="16">
        <f t="shared" si="19"/>
        <v>0</v>
      </c>
      <c r="F106" s="14"/>
      <c r="G106" s="14"/>
      <c r="H106" s="16">
        <f t="shared" si="19"/>
        <v>0</v>
      </c>
      <c r="J106" s="14"/>
      <c r="K106" s="14"/>
      <c r="L106" s="16">
        <f>SUM(L107:L117)</f>
        <v>0</v>
      </c>
      <c r="M106" s="14"/>
      <c r="N106" s="14"/>
      <c r="O106" s="16"/>
    </row>
    <row r="107" spans="1:15">
      <c r="A107" s="19">
        <v>1</v>
      </c>
      <c r="B107" s="20"/>
      <c r="C107" s="20"/>
      <c r="D107" s="22"/>
      <c r="E107" s="23"/>
      <c r="F107" s="24"/>
      <c r="G107" s="19"/>
      <c r="H107" s="19"/>
      <c r="J107" s="40"/>
      <c r="K107" s="19"/>
      <c r="L107" s="23"/>
      <c r="M107" s="40"/>
      <c r="N107" s="19"/>
      <c r="O107" s="23"/>
    </row>
    <row r="108" spans="1:15">
      <c r="A108" s="19">
        <v>2</v>
      </c>
      <c r="B108" s="20"/>
      <c r="C108" s="20"/>
      <c r="D108" s="22"/>
      <c r="E108" s="23"/>
      <c r="F108" s="19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3</v>
      </c>
      <c r="B109" s="20"/>
      <c r="C109" s="20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4</v>
      </c>
      <c r="B110" s="20"/>
      <c r="C110" s="20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5</v>
      </c>
      <c r="B111" s="20"/>
      <c r="C111" s="20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6</v>
      </c>
      <c r="B112" s="20"/>
      <c r="C112" s="20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spans="1:15">
      <c r="A113" s="19">
        <v>7</v>
      </c>
      <c r="B113" s="20"/>
      <c r="C113" s="20"/>
      <c r="D113" s="22"/>
      <c r="E113" s="23"/>
      <c r="F113" s="24"/>
      <c r="G113" s="19"/>
      <c r="H113" s="19"/>
      <c r="J113" s="20"/>
      <c r="K113" s="19"/>
      <c r="L113" s="23"/>
      <c r="M113" s="20"/>
      <c r="N113" s="19"/>
      <c r="O113" s="23"/>
    </row>
    <row r="114" spans="1:15">
      <c r="A114" s="19">
        <v>8</v>
      </c>
      <c r="B114" s="20"/>
      <c r="C114" s="20"/>
      <c r="D114" s="22"/>
      <c r="E114" s="23"/>
      <c r="F114" s="24"/>
      <c r="G114" s="19"/>
      <c r="H114" s="19"/>
      <c r="J114" s="20"/>
      <c r="K114" s="19"/>
      <c r="L114" s="23"/>
      <c r="M114" s="20"/>
      <c r="N114" s="19"/>
      <c r="O114" s="23"/>
    </row>
    <row r="115" spans="1:15">
      <c r="A115" s="19">
        <v>9</v>
      </c>
      <c r="B115" s="20"/>
      <c r="C115" s="20"/>
      <c r="D115" s="22"/>
      <c r="E115" s="23"/>
      <c r="F115" s="24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10</v>
      </c>
      <c r="B116" s="20"/>
      <c r="C116" s="20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11</v>
      </c>
      <c r="B117" s="20"/>
      <c r="C117" s="20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ht="30" customHeight="1" spans="1:15">
      <c r="A118" s="12" t="s">
        <v>85</v>
      </c>
      <c r="B118" s="13"/>
      <c r="C118" s="14"/>
      <c r="D118" s="15">
        <f t="shared" ref="D118:H118" si="20">SUM(D119:D129)</f>
        <v>0</v>
      </c>
      <c r="E118" s="16">
        <f t="shared" si="20"/>
        <v>0</v>
      </c>
      <c r="F118" s="14"/>
      <c r="G118" s="14"/>
      <c r="H118" s="16">
        <f t="shared" si="20"/>
        <v>0</v>
      </c>
      <c r="J118" s="14"/>
      <c r="K118" s="14"/>
      <c r="L118" s="16">
        <f>SUM(L119:L129)</f>
        <v>0</v>
      </c>
      <c r="M118" s="14"/>
      <c r="N118" s="14"/>
      <c r="O118" s="16"/>
    </row>
    <row r="119" spans="1:15">
      <c r="A119" s="19">
        <v>1</v>
      </c>
      <c r="B119" s="20"/>
      <c r="C119" s="20"/>
      <c r="D119" s="22"/>
      <c r="E119" s="23"/>
      <c r="F119" s="24"/>
      <c r="G119" s="19"/>
      <c r="H119" s="19"/>
      <c r="J119" s="40"/>
      <c r="K119" s="19"/>
      <c r="L119" s="23"/>
      <c r="M119" s="40"/>
      <c r="N119" s="19"/>
      <c r="O119" s="23"/>
    </row>
    <row r="120" spans="1:15">
      <c r="A120" s="19">
        <v>2</v>
      </c>
      <c r="B120" s="20"/>
      <c r="C120" s="20"/>
      <c r="D120" s="22"/>
      <c r="E120" s="23"/>
      <c r="F120" s="19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3</v>
      </c>
      <c r="B121" s="20"/>
      <c r="C121" s="20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4</v>
      </c>
      <c r="B122" s="20"/>
      <c r="C122" s="20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5</v>
      </c>
      <c r="B123" s="20"/>
      <c r="C123" s="20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6</v>
      </c>
      <c r="B124" s="20"/>
      <c r="C124" s="20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spans="1:15">
      <c r="A125" s="19">
        <v>7</v>
      </c>
      <c r="B125" s="20"/>
      <c r="C125" s="20"/>
      <c r="D125" s="22"/>
      <c r="E125" s="23"/>
      <c r="F125" s="24"/>
      <c r="G125" s="19"/>
      <c r="H125" s="19"/>
      <c r="J125" s="20"/>
      <c r="K125" s="19"/>
      <c r="L125" s="23"/>
      <c r="M125" s="20"/>
      <c r="N125" s="19"/>
      <c r="O125" s="23"/>
    </row>
    <row r="126" spans="1:15">
      <c r="A126" s="19">
        <v>8</v>
      </c>
      <c r="B126" s="20"/>
      <c r="C126" s="20"/>
      <c r="D126" s="22"/>
      <c r="E126" s="23"/>
      <c r="F126" s="24"/>
      <c r="G126" s="19"/>
      <c r="H126" s="19"/>
      <c r="J126" s="20"/>
      <c r="K126" s="19"/>
      <c r="L126" s="23"/>
      <c r="M126" s="20"/>
      <c r="N126" s="19"/>
      <c r="O126" s="23"/>
    </row>
    <row r="127" spans="1:15">
      <c r="A127" s="19">
        <v>9</v>
      </c>
      <c r="B127" s="20"/>
      <c r="C127" s="20"/>
      <c r="D127" s="22"/>
      <c r="E127" s="23"/>
      <c r="F127" s="24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10</v>
      </c>
      <c r="B128" s="20"/>
      <c r="C128" s="20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11</v>
      </c>
      <c r="B129" s="20"/>
      <c r="C129" s="20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ht="30" customHeight="1" spans="1:15">
      <c r="A130" s="12" t="s">
        <v>86</v>
      </c>
      <c r="B130" s="13"/>
      <c r="C130" s="14"/>
      <c r="D130" s="15">
        <f t="shared" ref="D130:H130" si="21">SUM(D131:D141)</f>
        <v>0</v>
      </c>
      <c r="E130" s="16">
        <f t="shared" si="21"/>
        <v>0</v>
      </c>
      <c r="F130" s="14"/>
      <c r="G130" s="14"/>
      <c r="H130" s="16">
        <f t="shared" si="21"/>
        <v>0</v>
      </c>
      <c r="J130" s="14"/>
      <c r="K130" s="14"/>
      <c r="L130" s="16">
        <f>SUM(L131:L141)</f>
        <v>0</v>
      </c>
      <c r="M130" s="14"/>
      <c r="N130" s="14"/>
      <c r="O130" s="16"/>
    </row>
    <row r="131" spans="1:15">
      <c r="A131" s="19">
        <v>1</v>
      </c>
      <c r="B131" s="20"/>
      <c r="C131" s="20"/>
      <c r="D131" s="22"/>
      <c r="E131" s="23"/>
      <c r="F131" s="24"/>
      <c r="G131" s="19"/>
      <c r="H131" s="19"/>
      <c r="J131" s="40"/>
      <c r="K131" s="19"/>
      <c r="L131" s="23"/>
      <c r="M131" s="40"/>
      <c r="N131" s="19"/>
      <c r="O131" s="23"/>
    </row>
    <row r="132" spans="1:15">
      <c r="A132" s="19">
        <v>2</v>
      </c>
      <c r="B132" s="20"/>
      <c r="C132" s="20"/>
      <c r="D132" s="22"/>
      <c r="E132" s="23"/>
      <c r="F132" s="19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3</v>
      </c>
      <c r="B133" s="20"/>
      <c r="C133" s="20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4</v>
      </c>
      <c r="B134" s="20"/>
      <c r="C134" s="20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5</v>
      </c>
      <c r="B135" s="20"/>
      <c r="C135" s="20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6</v>
      </c>
      <c r="B136" s="20"/>
      <c r="C136" s="20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spans="1:15">
      <c r="A137" s="19">
        <v>7</v>
      </c>
      <c r="B137" s="20"/>
      <c r="C137" s="20"/>
      <c r="D137" s="22"/>
      <c r="E137" s="23"/>
      <c r="F137" s="24"/>
      <c r="G137" s="19"/>
      <c r="H137" s="19"/>
      <c r="J137" s="20"/>
      <c r="K137" s="19"/>
      <c r="L137" s="23"/>
      <c r="M137" s="20"/>
      <c r="N137" s="19"/>
      <c r="O137" s="23"/>
    </row>
    <row r="138" spans="1:15">
      <c r="A138" s="19">
        <v>8</v>
      </c>
      <c r="B138" s="20"/>
      <c r="C138" s="20"/>
      <c r="D138" s="22"/>
      <c r="E138" s="23"/>
      <c r="F138" s="24"/>
      <c r="G138" s="19"/>
      <c r="H138" s="19"/>
      <c r="J138" s="20"/>
      <c r="K138" s="19"/>
      <c r="L138" s="23"/>
      <c r="M138" s="20"/>
      <c r="N138" s="19"/>
      <c r="O138" s="23"/>
    </row>
    <row r="139" spans="1:15">
      <c r="A139" s="19">
        <v>9</v>
      </c>
      <c r="B139" s="20"/>
      <c r="C139" s="20"/>
      <c r="D139" s="22"/>
      <c r="E139" s="23"/>
      <c r="F139" s="24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10</v>
      </c>
      <c r="B140" s="20"/>
      <c r="C140" s="20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11</v>
      </c>
      <c r="B141" s="20"/>
      <c r="C141" s="20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ht="30" customHeight="1" spans="1:15">
      <c r="A142" s="12" t="s">
        <v>87</v>
      </c>
      <c r="B142" s="13"/>
      <c r="C142" s="14"/>
      <c r="D142" s="15">
        <f t="shared" ref="D142:H142" si="22">SUM(D143:D153)</f>
        <v>0</v>
      </c>
      <c r="E142" s="16">
        <f t="shared" si="22"/>
        <v>0</v>
      </c>
      <c r="F142" s="14"/>
      <c r="G142" s="14"/>
      <c r="H142" s="16">
        <f t="shared" si="22"/>
        <v>0</v>
      </c>
      <c r="J142" s="14"/>
      <c r="K142" s="14"/>
      <c r="L142" s="16">
        <f>SUM(L143:L153)</f>
        <v>0</v>
      </c>
      <c r="M142" s="14"/>
      <c r="N142" s="14"/>
      <c r="O142" s="16"/>
    </row>
    <row r="143" spans="1:15">
      <c r="A143" s="19">
        <v>1</v>
      </c>
      <c r="B143" s="20"/>
      <c r="C143" s="20"/>
      <c r="D143" s="22"/>
      <c r="E143" s="23"/>
      <c r="F143" s="24"/>
      <c r="G143" s="19"/>
      <c r="H143" s="19"/>
      <c r="J143" s="40"/>
      <c r="K143" s="19"/>
      <c r="L143" s="23"/>
      <c r="M143" s="40"/>
      <c r="N143" s="19"/>
      <c r="O143" s="23"/>
    </row>
    <row r="144" spans="1:15">
      <c r="A144" s="19">
        <v>2</v>
      </c>
      <c r="B144" s="20"/>
      <c r="C144" s="20"/>
      <c r="D144" s="22"/>
      <c r="E144" s="23"/>
      <c r="F144" s="19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3</v>
      </c>
      <c r="B145" s="20"/>
      <c r="C145" s="20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4</v>
      </c>
      <c r="B146" s="20"/>
      <c r="C146" s="20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5</v>
      </c>
      <c r="B147" s="20"/>
      <c r="C147" s="20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6</v>
      </c>
      <c r="B148" s="20"/>
      <c r="C148" s="20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  <row r="149" spans="1:15">
      <c r="A149" s="19">
        <v>7</v>
      </c>
      <c r="B149" s="20"/>
      <c r="C149" s="20"/>
      <c r="D149" s="22"/>
      <c r="E149" s="23"/>
      <c r="F149" s="24"/>
      <c r="G149" s="19"/>
      <c r="H149" s="19"/>
      <c r="J149" s="20"/>
      <c r="K149" s="19"/>
      <c r="L149" s="23"/>
      <c r="M149" s="20"/>
      <c r="N149" s="19"/>
      <c r="O149" s="23"/>
    </row>
    <row r="150" spans="1:15">
      <c r="A150" s="19">
        <v>8</v>
      </c>
      <c r="B150" s="20"/>
      <c r="C150" s="20"/>
      <c r="D150" s="22"/>
      <c r="E150" s="23"/>
      <c r="F150" s="24"/>
      <c r="G150" s="19"/>
      <c r="H150" s="19"/>
      <c r="J150" s="20"/>
      <c r="K150" s="19"/>
      <c r="L150" s="23"/>
      <c r="M150" s="20"/>
      <c r="N150" s="19"/>
      <c r="O150" s="23"/>
    </row>
    <row r="151" spans="1:15">
      <c r="A151" s="19">
        <v>9</v>
      </c>
      <c r="B151" s="20"/>
      <c r="C151" s="20"/>
      <c r="D151" s="22"/>
      <c r="E151" s="23"/>
      <c r="F151" s="24"/>
      <c r="G151" s="19"/>
      <c r="H151" s="19"/>
      <c r="J151" s="20"/>
      <c r="K151" s="19"/>
      <c r="L151" s="23"/>
      <c r="M151" s="20"/>
      <c r="N151" s="19"/>
      <c r="O151" s="23"/>
    </row>
    <row r="152" spans="1:15">
      <c r="A152" s="19">
        <v>10</v>
      </c>
      <c r="B152" s="20"/>
      <c r="C152" s="20"/>
      <c r="D152" s="22"/>
      <c r="E152" s="23"/>
      <c r="F152" s="24"/>
      <c r="G152" s="19"/>
      <c r="H152" s="19"/>
      <c r="J152" s="20"/>
      <c r="K152" s="19"/>
      <c r="L152" s="23"/>
      <c r="M152" s="20"/>
      <c r="N152" s="19"/>
      <c r="O152" s="23"/>
    </row>
    <row r="153" spans="1:15">
      <c r="A153" s="19">
        <v>11</v>
      </c>
      <c r="B153" s="20"/>
      <c r="C153" s="20"/>
      <c r="D153" s="22"/>
      <c r="E153" s="23"/>
      <c r="F153" s="24"/>
      <c r="G153" s="19"/>
      <c r="H153" s="19"/>
      <c r="J153" s="20"/>
      <c r="K153" s="19"/>
      <c r="L153" s="23"/>
      <c r="M153" s="20"/>
      <c r="N153" s="19"/>
      <c r="O153" s="23"/>
    </row>
  </sheetData>
  <autoFilter ref="A1:A153"/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13 N14 G17:G21 G31:G33 G51:G56 G59:G69 G71:G81 G83:G93 G95:G105 G107:G117 G119:G129 G131:G141 G143:G153 N35:N45 N47:N57 N59:N69 N71:N81 N83:N93 N95:N105 N107:N117 N119:N129 N131:N141 N143:N153">
      <formula1>"王,娟,敏,蕾,佩,松"</formula1>
    </dataValidation>
    <dataValidation type="list" allowBlank="1" showInputMessage="1" showErrorMessage="1" sqref="F21 F33 F69 F81 F93 F105 F117 F129 F141 F153">
      <formula1>"小猪,蚂蚁,BNB,途家,闲鱼"</formula1>
    </dataValidation>
    <dataValidation type="list" allowBlank="1" showInputMessage="1" sqref="F25 F6:F20 F31:F32 F39:F40 F42:F43 F51:F56 F59:F68 F71:F80 F83:F92 F95:F104 F107:F116 F119:F128 F131:F140 F143:F152">
      <formula1>"小猪,蚂蚁,BNB,途家,闲鱼,线下"</formula1>
    </dataValidation>
    <dataValidation type="list" allowBlank="1" showInputMessage="1" sqref="F38 F23:F24 F26:F30 F48:F50">
      <formula1>"小猪,蚂蚁,BNB,途家,闲鱼"</formula1>
    </dataValidation>
    <dataValidation type="list" allowBlank="1" showInputMessage="1" showErrorMessage="1" sqref="F41 F57 F35:F37 F44:F45">
      <formula1>"小猪,蚂蚁,BNB,途家,闲鱼,线下"</formula1>
    </dataValidation>
    <dataValidation type="list" allowBlank="1" showInputMessage="1" showErrorMessage="1" sqref="G57 G6:G12 G14:G16 G23:G30 G35:G45 G48:G50 M6:M21 M23:M33">
      <formula1>"王,娟,蕾,敏,佩,松"</formula1>
    </dataValidation>
    <dataValidation type="list" allowBlank="1" showInputMessage="1" showErrorMessage="1" sqref="K6:K21 K23:K33 K35:K45 K47:K57 K59:K69 K71:K81 K83:K93 K95:K105 K107:K117 K119:K129 K131:K141 K143:K153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A1:W149"/>
  <sheetViews>
    <sheetView zoomScale="85" zoomScaleNormal="85" workbookViewId="0">
      <pane xSplit="1" ySplit="4" topLeftCell="B34" activePane="bottomRight" state="frozen"/>
      <selection/>
      <selection pane="topRight"/>
      <selection pane="bottomLeft"/>
      <selection pane="bottomRight" activeCell="B51" sqref="B51"/>
    </sheetView>
  </sheetViews>
  <sheetFormatPr defaultColWidth="9" defaultRowHeight="15"/>
  <cols>
    <col min="1" max="1" width="4.875" style="2" customWidth="1"/>
    <col min="2" max="2" width="10" style="2" customWidth="1"/>
    <col min="3" max="4" width="9" style="2" customWidth="1"/>
    <col min="5" max="5" width="9.25" style="2"/>
    <col min="6" max="6" width="5.375" style="2"/>
    <col min="7" max="7" width="7.375" style="2"/>
    <col min="8" max="8" width="9" style="2" customWidth="1"/>
    <col min="9" max="9" width="3.125" style="2" customWidth="1"/>
    <col min="10" max="10" width="9" style="2" customWidth="1"/>
    <col min="11" max="11" width="5.375" style="2"/>
    <col min="12" max="12" width="9" style="2" customWidth="1"/>
    <col min="13" max="13" width="5.375" style="2"/>
    <col min="14" max="15" width="9" style="2" customWidth="1"/>
    <col min="16" max="16" width="3.75" customWidth="1"/>
    <col min="17" max="17" width="5.625"/>
    <col min="18" max="18" width="6.41666666666667"/>
    <col min="19" max="19" width="5.625"/>
    <col min="20" max="20" width="7.41666666666667" customWidth="1"/>
    <col min="21" max="21" width="5.625"/>
    <col min="22" max="22" width="8.375"/>
    <col min="23" max="23" width="5.625"/>
  </cols>
  <sheetData>
    <row r="1" s="4" customFormat="1" ht="39" customHeight="1" spans="1:23">
      <c r="A1" s="6" t="s">
        <v>113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75" t="s">
        <v>23</v>
      </c>
      <c r="B5" s="13"/>
      <c r="C5" s="14"/>
      <c r="D5" s="15">
        <f t="shared" ref="D5:H5" si="0">SUM(D6:D13)</f>
        <v>16</v>
      </c>
      <c r="E5" s="16">
        <f t="shared" si="0"/>
        <v>3479.4</v>
      </c>
      <c r="F5" s="14"/>
      <c r="G5" s="14"/>
      <c r="H5" s="16">
        <f t="shared" si="0"/>
        <v>173.9</v>
      </c>
      <c r="J5" s="14"/>
      <c r="K5" s="14"/>
      <c r="L5" s="16">
        <f>SUM(L6:L13)</f>
        <v>336.5</v>
      </c>
      <c r="M5" s="14"/>
      <c r="N5" s="14"/>
      <c r="O5" s="16">
        <f>E5-H5-L5</f>
        <v>2969</v>
      </c>
      <c r="Q5" s="48"/>
      <c r="R5" s="48">
        <f>SUM(R6:R11)</f>
        <v>173.9</v>
      </c>
      <c r="S5" s="48"/>
      <c r="T5" s="49">
        <f>SUM(T6:T11)</f>
        <v>336.5</v>
      </c>
      <c r="U5" s="48"/>
      <c r="V5" s="48"/>
      <c r="W5" s="50"/>
    </row>
    <row r="6" spans="1:23">
      <c r="A6" s="19">
        <v>1</v>
      </c>
      <c r="B6" s="20">
        <v>43105</v>
      </c>
      <c r="C6" s="21">
        <v>1.5</v>
      </c>
      <c r="D6" s="22">
        <v>1</v>
      </c>
      <c r="E6" s="23">
        <v>196.2</v>
      </c>
      <c r="F6" s="24" t="s">
        <v>46</v>
      </c>
      <c r="G6" s="19" t="s">
        <v>25</v>
      </c>
      <c r="H6" s="25">
        <f t="shared" ref="H6:H10" si="1">ROUND(E6*0.05,1)</f>
        <v>9.8</v>
      </c>
      <c r="J6" s="40">
        <v>43101</v>
      </c>
      <c r="K6" s="19" t="s">
        <v>33</v>
      </c>
      <c r="L6" s="23">
        <v>16.5</v>
      </c>
      <c r="M6" s="19" t="s">
        <v>32</v>
      </c>
      <c r="N6" s="41" t="s">
        <v>34</v>
      </c>
      <c r="O6" s="23"/>
      <c r="Q6" s="48" t="s">
        <v>27</v>
      </c>
      <c r="R6" s="48">
        <f t="shared" ref="R6:R11" si="2">SUMIF($G$6:$G$13,Q6,$H$6:$H$13)</f>
        <v>0</v>
      </c>
      <c r="S6" s="48" t="s">
        <v>26</v>
      </c>
      <c r="T6" s="48">
        <f>SUMIF(K6:K13,S6,L6:L13)</f>
        <v>275</v>
      </c>
      <c r="U6" s="48" t="s">
        <v>28</v>
      </c>
      <c r="V6" s="49">
        <f>O5</f>
        <v>2969</v>
      </c>
      <c r="W6" s="50"/>
    </row>
    <row r="7" spans="1:23">
      <c r="A7" s="19">
        <v>2</v>
      </c>
      <c r="B7" s="20">
        <v>43115</v>
      </c>
      <c r="C7" s="21" t="s">
        <v>114</v>
      </c>
      <c r="D7" s="22">
        <v>7</v>
      </c>
      <c r="E7" s="23">
        <v>1569.6</v>
      </c>
      <c r="F7" s="24" t="s">
        <v>46</v>
      </c>
      <c r="G7" s="19" t="s">
        <v>25</v>
      </c>
      <c r="H7" s="25">
        <f t="shared" si="1"/>
        <v>78.5</v>
      </c>
      <c r="J7" s="20">
        <v>43105</v>
      </c>
      <c r="K7" s="19" t="s">
        <v>26</v>
      </c>
      <c r="L7" s="23">
        <v>65</v>
      </c>
      <c r="M7" s="19" t="s">
        <v>25</v>
      </c>
      <c r="N7" s="41">
        <v>1.6</v>
      </c>
      <c r="O7" s="23"/>
      <c r="Q7" s="48" t="s">
        <v>25</v>
      </c>
      <c r="R7" s="48">
        <f t="shared" si="2"/>
        <v>173.9</v>
      </c>
      <c r="S7" s="48" t="s">
        <v>29</v>
      </c>
      <c r="T7" s="48"/>
      <c r="U7" s="48" t="s">
        <v>115</v>
      </c>
      <c r="V7" s="49">
        <f t="shared" ref="V7:V10" si="3">ROUND($V$6*W7,1)</f>
        <v>2078.3</v>
      </c>
      <c r="W7" s="51">
        <v>0.7</v>
      </c>
    </row>
    <row r="8" spans="1:23">
      <c r="A8" s="19">
        <v>3</v>
      </c>
      <c r="B8" s="20">
        <v>43120</v>
      </c>
      <c r="C8" s="21">
        <v>1.21</v>
      </c>
      <c r="D8" s="22">
        <v>1</v>
      </c>
      <c r="E8" s="23">
        <v>214.2</v>
      </c>
      <c r="F8" s="24" t="s">
        <v>24</v>
      </c>
      <c r="G8" s="19" t="s">
        <v>25</v>
      </c>
      <c r="H8" s="25">
        <f t="shared" si="1"/>
        <v>10.7</v>
      </c>
      <c r="J8" s="20">
        <v>43108</v>
      </c>
      <c r="K8" s="19" t="s">
        <v>33</v>
      </c>
      <c r="L8" s="23">
        <v>15</v>
      </c>
      <c r="M8" s="19" t="s">
        <v>25</v>
      </c>
      <c r="N8" s="41" t="s">
        <v>116</v>
      </c>
      <c r="O8" s="23"/>
      <c r="Q8" s="48" t="s">
        <v>32</v>
      </c>
      <c r="R8" s="48">
        <f t="shared" si="2"/>
        <v>0</v>
      </c>
      <c r="S8" s="48" t="s">
        <v>33</v>
      </c>
      <c r="T8" s="48">
        <f>SUMIF(K6:K13,S8,L6:L13)</f>
        <v>61.5</v>
      </c>
      <c r="U8" s="48" t="s">
        <v>117</v>
      </c>
      <c r="V8" s="49">
        <f t="shared" si="3"/>
        <v>890.7</v>
      </c>
      <c r="W8" s="51">
        <v>0.3</v>
      </c>
    </row>
    <row r="9" spans="1:23">
      <c r="A9" s="19">
        <v>4</v>
      </c>
      <c r="B9" s="20">
        <v>43105</v>
      </c>
      <c r="C9" s="21" t="s">
        <v>118</v>
      </c>
      <c r="D9" s="22">
        <v>3</v>
      </c>
      <c r="E9" s="23">
        <v>642.6</v>
      </c>
      <c r="F9" s="26" t="s">
        <v>24</v>
      </c>
      <c r="G9" s="19" t="s">
        <v>25</v>
      </c>
      <c r="H9" s="25">
        <f t="shared" si="1"/>
        <v>32.1</v>
      </c>
      <c r="J9" s="20">
        <v>43115</v>
      </c>
      <c r="K9" s="19" t="s">
        <v>26</v>
      </c>
      <c r="L9" s="23">
        <v>70</v>
      </c>
      <c r="M9" s="19" t="s">
        <v>25</v>
      </c>
      <c r="N9" s="41">
        <v>1.16</v>
      </c>
      <c r="O9" s="23"/>
      <c r="Q9" s="48" t="s">
        <v>35</v>
      </c>
      <c r="R9" s="48">
        <f t="shared" si="2"/>
        <v>0</v>
      </c>
      <c r="S9" s="48" t="s">
        <v>36</v>
      </c>
      <c r="T9" s="48"/>
      <c r="U9" s="48"/>
      <c r="V9" s="52"/>
      <c r="W9" s="51"/>
    </row>
    <row r="10" spans="1:23">
      <c r="A10" s="19">
        <v>5</v>
      </c>
      <c r="B10" s="20">
        <v>43126</v>
      </c>
      <c r="C10" s="21" t="s">
        <v>119</v>
      </c>
      <c r="D10" s="22">
        <v>4</v>
      </c>
      <c r="E10" s="23">
        <v>856.8</v>
      </c>
      <c r="F10" s="24" t="s">
        <v>24</v>
      </c>
      <c r="G10" s="19" t="s">
        <v>25</v>
      </c>
      <c r="H10" s="25">
        <f t="shared" si="1"/>
        <v>42.8</v>
      </c>
      <c r="J10" s="20">
        <v>43123</v>
      </c>
      <c r="K10" s="19" t="s">
        <v>26</v>
      </c>
      <c r="L10" s="23">
        <v>70</v>
      </c>
      <c r="M10" s="19" t="s">
        <v>25</v>
      </c>
      <c r="N10" s="41">
        <v>1.25</v>
      </c>
      <c r="O10" s="23"/>
      <c r="Q10" s="48" t="s">
        <v>30</v>
      </c>
      <c r="R10" s="48">
        <f t="shared" si="2"/>
        <v>0</v>
      </c>
      <c r="S10" s="48" t="s">
        <v>38</v>
      </c>
      <c r="T10" s="48"/>
      <c r="U10" s="48"/>
      <c r="V10" s="52"/>
      <c r="W10" s="51"/>
    </row>
    <row r="11" spans="1:23">
      <c r="A11" s="19">
        <v>6</v>
      </c>
      <c r="B11" s="20"/>
      <c r="C11" s="20"/>
      <c r="D11" s="22"/>
      <c r="E11" s="23"/>
      <c r="F11" s="24"/>
      <c r="G11" s="19"/>
      <c r="H11" s="19"/>
      <c r="J11" s="20">
        <v>43125</v>
      </c>
      <c r="K11" s="19" t="s">
        <v>33</v>
      </c>
      <c r="L11" s="23">
        <v>30</v>
      </c>
      <c r="M11" s="19" t="s">
        <v>32</v>
      </c>
      <c r="N11" s="41" t="s">
        <v>120</v>
      </c>
      <c r="O11" s="23"/>
      <c r="Q11" s="48" t="s">
        <v>39</v>
      </c>
      <c r="R11" s="48">
        <f t="shared" si="2"/>
        <v>0</v>
      </c>
      <c r="S11" s="48" t="s">
        <v>40</v>
      </c>
      <c r="T11" s="48"/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25"/>
      <c r="J12" s="20">
        <v>43126</v>
      </c>
      <c r="K12" s="19" t="s">
        <v>26</v>
      </c>
      <c r="L12" s="23">
        <v>70</v>
      </c>
      <c r="M12" s="19" t="s">
        <v>25</v>
      </c>
      <c r="N12" s="41">
        <v>1.29</v>
      </c>
      <c r="O12" s="23"/>
    </row>
    <row r="13" spans="1:15">
      <c r="A13" s="19">
        <v>8</v>
      </c>
      <c r="B13" s="20"/>
      <c r="C13" s="21"/>
      <c r="D13" s="22"/>
      <c r="E13" s="23"/>
      <c r="F13" s="26"/>
      <c r="G13" s="19"/>
      <c r="H13" s="25"/>
      <c r="J13" s="20"/>
      <c r="K13" s="19"/>
      <c r="L13" s="23"/>
      <c r="M13" s="20"/>
      <c r="N13" s="19"/>
      <c r="O13" s="23"/>
    </row>
    <row r="14" ht="30" customHeight="1" spans="1:23">
      <c r="A14" s="75" t="s">
        <v>49</v>
      </c>
      <c r="B14" s="13"/>
      <c r="C14" s="14"/>
      <c r="D14" s="15">
        <f t="shared" ref="D14:H14" si="4">SUM(D15:D25)</f>
        <v>21</v>
      </c>
      <c r="E14" s="16">
        <f t="shared" si="4"/>
        <v>5080.56</v>
      </c>
      <c r="F14" s="14"/>
      <c r="G14" s="14"/>
      <c r="H14" s="16">
        <f t="shared" si="4"/>
        <v>254.1</v>
      </c>
      <c r="J14" s="14"/>
      <c r="K14" s="14"/>
      <c r="L14" s="16">
        <f>SUM(L15:L25)</f>
        <v>1619.9</v>
      </c>
      <c r="M14" s="14"/>
      <c r="N14" s="14"/>
      <c r="O14" s="16">
        <f>E14-H14-L14</f>
        <v>3206.56</v>
      </c>
      <c r="Q14" s="48"/>
      <c r="R14" s="48">
        <f>SUM(R15:R20)</f>
        <v>254.1</v>
      </c>
      <c r="S14" s="48"/>
      <c r="T14" s="49">
        <f>SUM(T15:T20)</f>
        <v>1619.9</v>
      </c>
      <c r="U14" s="48"/>
      <c r="V14" s="48"/>
      <c r="W14" s="50"/>
    </row>
    <row r="15" spans="1:23">
      <c r="A15" s="19">
        <v>1</v>
      </c>
      <c r="B15" s="20">
        <v>43056</v>
      </c>
      <c r="C15" s="20" t="s">
        <v>121</v>
      </c>
      <c r="D15" s="22">
        <f>11-4</f>
        <v>7</v>
      </c>
      <c r="E15" s="23">
        <v>814.76</v>
      </c>
      <c r="F15" s="24" t="s">
        <v>43</v>
      </c>
      <c r="G15" s="19" t="s">
        <v>32</v>
      </c>
      <c r="H15" s="25">
        <f t="shared" ref="H15:H19" si="5">ROUND(E15*0.05,1)</f>
        <v>40.7</v>
      </c>
      <c r="J15" s="40"/>
      <c r="K15" s="19"/>
      <c r="L15" s="23"/>
      <c r="M15" s="40"/>
      <c r="N15" s="19"/>
      <c r="O15" s="23"/>
      <c r="Q15" s="48" t="s">
        <v>27</v>
      </c>
      <c r="R15" s="48">
        <f>SUMIF(G15:G25,Q15,H15:H25)</f>
        <v>0</v>
      </c>
      <c r="S15" s="48" t="s">
        <v>26</v>
      </c>
      <c r="T15" s="48">
        <f>SUMIF(K15:K25,S15,L15:L25)</f>
        <v>525</v>
      </c>
      <c r="U15" s="48" t="s">
        <v>28</v>
      </c>
      <c r="V15" s="49">
        <f>O14</f>
        <v>3206.56</v>
      </c>
      <c r="W15" s="50"/>
    </row>
    <row r="16" spans="1:23">
      <c r="A16" s="19">
        <v>2</v>
      </c>
      <c r="B16" s="20">
        <v>43129</v>
      </c>
      <c r="C16" s="21" t="s">
        <v>55</v>
      </c>
      <c r="D16" s="22">
        <v>3</v>
      </c>
      <c r="E16" s="23">
        <v>1317.6</v>
      </c>
      <c r="F16" s="24" t="s">
        <v>46</v>
      </c>
      <c r="G16" s="19" t="s">
        <v>25</v>
      </c>
      <c r="H16" s="25">
        <f t="shared" si="5"/>
        <v>65.9</v>
      </c>
      <c r="J16" s="20">
        <v>43133</v>
      </c>
      <c r="K16" s="19" t="s">
        <v>26</v>
      </c>
      <c r="L16" s="23">
        <v>105</v>
      </c>
      <c r="M16" s="19" t="s">
        <v>25</v>
      </c>
      <c r="N16" s="41">
        <v>2.12</v>
      </c>
      <c r="O16" s="23"/>
      <c r="Q16" s="48" t="s">
        <v>25</v>
      </c>
      <c r="R16" s="48">
        <f>SUMIF(G15:G25,Q16,H15:H25)</f>
        <v>133.4</v>
      </c>
      <c r="S16" s="48" t="s">
        <v>29</v>
      </c>
      <c r="T16" s="48">
        <f>SUMIF(K15:K25,S16,L15:L25)</f>
        <v>1006</v>
      </c>
      <c r="U16" s="48" t="s">
        <v>115</v>
      </c>
      <c r="V16" s="49">
        <f>ROUND(V15*W16,1)</f>
        <v>2244.6</v>
      </c>
      <c r="W16" s="51">
        <v>0.7</v>
      </c>
    </row>
    <row r="17" spans="1:23">
      <c r="A17" s="19">
        <v>3</v>
      </c>
      <c r="B17" s="20">
        <v>43131</v>
      </c>
      <c r="C17" s="21" t="s">
        <v>122</v>
      </c>
      <c r="D17" s="22">
        <v>2</v>
      </c>
      <c r="E17" s="23">
        <v>909</v>
      </c>
      <c r="F17" s="24" t="s">
        <v>24</v>
      </c>
      <c r="G17" s="19" t="s">
        <v>25</v>
      </c>
      <c r="H17" s="25">
        <f t="shared" si="5"/>
        <v>45.5</v>
      </c>
      <c r="J17" s="20">
        <v>43134</v>
      </c>
      <c r="K17" s="19" t="s">
        <v>33</v>
      </c>
      <c r="L17" s="23">
        <v>13.9</v>
      </c>
      <c r="M17" s="19" t="s">
        <v>32</v>
      </c>
      <c r="N17" s="41" t="s">
        <v>123</v>
      </c>
      <c r="O17" s="23"/>
      <c r="Q17" s="48" t="s">
        <v>32</v>
      </c>
      <c r="R17" s="48">
        <f>SUMIF(G15:G25,Q17,H15:H25)</f>
        <v>120.7</v>
      </c>
      <c r="S17" s="48" t="s">
        <v>33</v>
      </c>
      <c r="T17" s="48">
        <f>SUMIF(K15:K25,S17,L15:L25)</f>
        <v>13.9</v>
      </c>
      <c r="U17" s="48" t="s">
        <v>117</v>
      </c>
      <c r="V17" s="49">
        <f>ROUND(V15*W17,1)</f>
        <v>962</v>
      </c>
      <c r="W17" s="51">
        <v>0.3</v>
      </c>
    </row>
    <row r="18" spans="1:23">
      <c r="A18" s="19">
        <v>4</v>
      </c>
      <c r="B18" s="20">
        <v>43150</v>
      </c>
      <c r="C18" s="34">
        <v>2.2</v>
      </c>
      <c r="D18" s="22">
        <v>1</v>
      </c>
      <c r="E18" s="23">
        <v>439.2</v>
      </c>
      <c r="F18" s="24" t="s">
        <v>24</v>
      </c>
      <c r="G18" s="19" t="s">
        <v>25</v>
      </c>
      <c r="H18" s="25">
        <f t="shared" si="5"/>
        <v>22</v>
      </c>
      <c r="J18" s="20">
        <v>43137</v>
      </c>
      <c r="K18" s="19" t="s">
        <v>29</v>
      </c>
      <c r="L18" s="23">
        <v>1006</v>
      </c>
      <c r="M18" s="19" t="s">
        <v>30</v>
      </c>
      <c r="N18" s="41" t="s">
        <v>124</v>
      </c>
      <c r="O18" s="23"/>
      <c r="Q18" s="48" t="s">
        <v>35</v>
      </c>
      <c r="R18" s="48">
        <f>SUMIF(G15:G25,Q18,H15:H25)</f>
        <v>0</v>
      </c>
      <c r="S18" s="48" t="s">
        <v>36</v>
      </c>
      <c r="T18" s="48">
        <f>SUMIF(K15:K25,S18,L15:L25)</f>
        <v>75</v>
      </c>
      <c r="U18" s="48"/>
      <c r="V18" s="52"/>
      <c r="W18" s="51"/>
    </row>
    <row r="19" spans="1:23">
      <c r="A19" s="19">
        <v>5</v>
      </c>
      <c r="B19" s="20">
        <v>43152</v>
      </c>
      <c r="C19" s="21" t="s">
        <v>125</v>
      </c>
      <c r="D19" s="22">
        <v>8</v>
      </c>
      <c r="E19" s="23">
        <f>ROUND(2000/10*8,1)</f>
        <v>1600</v>
      </c>
      <c r="F19" s="24" t="s">
        <v>37</v>
      </c>
      <c r="G19" s="19" t="s">
        <v>32</v>
      </c>
      <c r="H19" s="25">
        <f t="shared" si="5"/>
        <v>80</v>
      </c>
      <c r="J19" s="20">
        <v>43138</v>
      </c>
      <c r="K19" s="19" t="s">
        <v>36</v>
      </c>
      <c r="L19" s="23">
        <v>75</v>
      </c>
      <c r="M19" s="19" t="s">
        <v>30</v>
      </c>
      <c r="N19" s="41" t="s">
        <v>126</v>
      </c>
      <c r="O19" s="23"/>
      <c r="Q19" s="48" t="s">
        <v>30</v>
      </c>
      <c r="R19" s="48">
        <f>SUMIF(G15:G25,Q19,H15:H25)</f>
        <v>0</v>
      </c>
      <c r="S19" s="48" t="s">
        <v>38</v>
      </c>
      <c r="T19" s="48">
        <f>SUMIF(K15:K25,S19,L15:L25)</f>
        <v>0</v>
      </c>
      <c r="U19" s="48"/>
      <c r="V19" s="52"/>
      <c r="W19" s="51"/>
    </row>
    <row r="20" spans="1:23">
      <c r="A20" s="19">
        <v>6</v>
      </c>
      <c r="B20" s="20"/>
      <c r="C20" s="20"/>
      <c r="D20" s="22"/>
      <c r="E20" s="23"/>
      <c r="F20" s="24"/>
      <c r="G20" s="19"/>
      <c r="H20" s="19"/>
      <c r="J20" s="20">
        <v>43149</v>
      </c>
      <c r="K20" s="19" t="s">
        <v>26</v>
      </c>
      <c r="L20" s="23">
        <v>140</v>
      </c>
      <c r="M20" s="19" t="s">
        <v>32</v>
      </c>
      <c r="N20" s="41" t="s">
        <v>56</v>
      </c>
      <c r="O20" s="23"/>
      <c r="Q20" s="48" t="s">
        <v>39</v>
      </c>
      <c r="R20" s="48">
        <f>SUMIF(G15:G25,Q20,H15:H25)</f>
        <v>0</v>
      </c>
      <c r="S20" s="48" t="s">
        <v>40</v>
      </c>
      <c r="T20" s="48">
        <f>SUMIF(K15:K25,S20,L15:L25)</f>
        <v>0</v>
      </c>
      <c r="U20" s="48"/>
      <c r="V20" s="48"/>
      <c r="W20" s="50"/>
    </row>
    <row r="21" spans="1:15">
      <c r="A21" s="19">
        <v>7</v>
      </c>
      <c r="B21" s="20"/>
      <c r="C21" s="20"/>
      <c r="D21" s="22"/>
      <c r="E21" s="23"/>
      <c r="F21" s="24"/>
      <c r="G21" s="19"/>
      <c r="H21" s="19"/>
      <c r="J21" s="20">
        <v>43151</v>
      </c>
      <c r="K21" s="19" t="s">
        <v>26</v>
      </c>
      <c r="L21" s="23">
        <v>140</v>
      </c>
      <c r="M21" s="19" t="s">
        <v>25</v>
      </c>
      <c r="N21" s="19"/>
      <c r="O21" s="23"/>
    </row>
    <row r="22" spans="1:15">
      <c r="A22" s="19">
        <v>8</v>
      </c>
      <c r="B22" s="20"/>
      <c r="C22" s="20"/>
      <c r="D22" s="22"/>
      <c r="E22" s="23"/>
      <c r="F22" s="24"/>
      <c r="G22" s="19"/>
      <c r="H22" s="19"/>
      <c r="J22" s="20">
        <v>43152</v>
      </c>
      <c r="K22" s="19" t="s">
        <v>26</v>
      </c>
      <c r="L22" s="23">
        <v>140</v>
      </c>
      <c r="M22" s="19" t="s">
        <v>32</v>
      </c>
      <c r="N22" s="41" t="s">
        <v>56</v>
      </c>
      <c r="O22" s="23"/>
    </row>
    <row r="23" spans="1:15">
      <c r="A23" s="19">
        <v>9</v>
      </c>
      <c r="B23" s="20"/>
      <c r="C23" s="20"/>
      <c r="D23" s="22"/>
      <c r="E23" s="23"/>
      <c r="F23" s="24"/>
      <c r="G23" s="19"/>
      <c r="H23" s="19"/>
      <c r="J23" s="20"/>
      <c r="K23" s="19"/>
      <c r="L23" s="23"/>
      <c r="M23" s="20"/>
      <c r="N23" s="19"/>
      <c r="O23" s="23"/>
    </row>
    <row r="24" spans="1:15">
      <c r="A24" s="19">
        <v>10</v>
      </c>
      <c r="B24" s="20"/>
      <c r="C24" s="20"/>
      <c r="D24" s="22"/>
      <c r="E24" s="23"/>
      <c r="F24" s="24"/>
      <c r="G24" s="19"/>
      <c r="H24" s="19"/>
      <c r="J24" s="20"/>
      <c r="K24" s="19"/>
      <c r="L24" s="23"/>
      <c r="M24" s="20"/>
      <c r="N24" s="19"/>
      <c r="O24" s="23"/>
    </row>
    <row r="25" spans="1:15">
      <c r="A25" s="19">
        <v>11</v>
      </c>
      <c r="B25" s="20"/>
      <c r="C25" s="20"/>
      <c r="D25" s="22"/>
      <c r="E25" s="23"/>
      <c r="F25" s="24"/>
      <c r="G25" s="19"/>
      <c r="H25" s="19"/>
      <c r="J25" s="20"/>
      <c r="K25" s="19"/>
      <c r="L25" s="23"/>
      <c r="M25" s="20"/>
      <c r="N25" s="19"/>
      <c r="O25" s="23"/>
    </row>
    <row r="26" ht="30" customHeight="1" spans="1:20">
      <c r="A26" s="75" t="s">
        <v>60</v>
      </c>
      <c r="B26" s="13"/>
      <c r="C26" s="14"/>
      <c r="D26" s="15">
        <f t="shared" ref="D26:H26" si="6">SUM(D27:D37)</f>
        <v>18</v>
      </c>
      <c r="E26" s="16">
        <f t="shared" si="6"/>
        <v>4961</v>
      </c>
      <c r="F26" s="14"/>
      <c r="G26" s="14"/>
      <c r="H26" s="16">
        <f t="shared" si="6"/>
        <v>248.2</v>
      </c>
      <c r="J26" s="14"/>
      <c r="K26" s="14"/>
      <c r="L26" s="16">
        <f>SUM(L27:L37)</f>
        <v>621.8</v>
      </c>
      <c r="M26" s="14"/>
      <c r="N26" s="14"/>
      <c r="O26" s="16">
        <f>E26-H26-L26</f>
        <v>4091</v>
      </c>
      <c r="R26" s="48">
        <f>SUM(R27:R32)</f>
        <v>248.2</v>
      </c>
      <c r="S26" s="48"/>
      <c r="T26" s="49">
        <f>SUM(T27:T32)</f>
        <v>621.8</v>
      </c>
    </row>
    <row r="27" spans="1:23">
      <c r="A27" s="19">
        <v>1</v>
      </c>
      <c r="B27" s="20">
        <v>43152</v>
      </c>
      <c r="C27" s="21" t="s">
        <v>127</v>
      </c>
      <c r="D27" s="22">
        <v>2</v>
      </c>
      <c r="E27" s="23">
        <f>ROUND(2000/10*2,1)</f>
        <v>400</v>
      </c>
      <c r="F27" s="24" t="s">
        <v>37</v>
      </c>
      <c r="G27" s="19" t="s">
        <v>32</v>
      </c>
      <c r="H27" s="25">
        <f>ROUND(E27*0.05,1)</f>
        <v>20</v>
      </c>
      <c r="J27" s="40">
        <v>43161</v>
      </c>
      <c r="K27" s="19" t="s">
        <v>26</v>
      </c>
      <c r="L27" s="23">
        <v>70</v>
      </c>
      <c r="M27" s="19" t="s">
        <v>25</v>
      </c>
      <c r="N27" s="41">
        <v>3.3</v>
      </c>
      <c r="O27" s="23"/>
      <c r="Q27" s="48" t="s">
        <v>27</v>
      </c>
      <c r="R27" s="48">
        <f>SUMIF(G27:G37,Q27,H27:H37)</f>
        <v>95.6</v>
      </c>
      <c r="S27" s="48" t="s">
        <v>26</v>
      </c>
      <c r="T27" s="48">
        <f>SUMIF(K27:K37,S27,L27:L37)</f>
        <v>420</v>
      </c>
      <c r="U27" s="48" t="s">
        <v>28</v>
      </c>
      <c r="V27" s="49">
        <f>O26</f>
        <v>4091</v>
      </c>
      <c r="W27" s="50"/>
    </row>
    <row r="28" spans="1:23">
      <c r="A28" s="19">
        <v>2</v>
      </c>
      <c r="B28" s="20">
        <v>43162</v>
      </c>
      <c r="C28" s="21">
        <v>3.3</v>
      </c>
      <c r="D28" s="22">
        <v>1</v>
      </c>
      <c r="E28" s="23">
        <v>200</v>
      </c>
      <c r="F28" s="24" t="s">
        <v>37</v>
      </c>
      <c r="G28" s="19" t="s">
        <v>32</v>
      </c>
      <c r="H28" s="25">
        <v>10</v>
      </c>
      <c r="J28" s="20">
        <v>43177</v>
      </c>
      <c r="K28" s="19" t="s">
        <v>26</v>
      </c>
      <c r="L28" s="23">
        <v>70</v>
      </c>
      <c r="M28" s="20" t="s">
        <v>32</v>
      </c>
      <c r="N28" s="19" t="s">
        <v>56</v>
      </c>
      <c r="O28" s="23"/>
      <c r="Q28" s="48" t="s">
        <v>25</v>
      </c>
      <c r="R28" s="48">
        <f>SUMIF(G27:G37,Q28,H27:H37)</f>
        <v>112.6</v>
      </c>
      <c r="S28" s="48" t="s">
        <v>29</v>
      </c>
      <c r="T28" s="48">
        <f>SUMIF(K27:K37,S28,L27:L37)</f>
        <v>160</v>
      </c>
      <c r="U28" s="48" t="s">
        <v>115</v>
      </c>
      <c r="V28" s="49">
        <f>ROUND(V27*W28,1)</f>
        <v>2863.7</v>
      </c>
      <c r="W28" s="51">
        <v>0.7</v>
      </c>
    </row>
    <row r="29" spans="1:23">
      <c r="A29" s="19">
        <v>3</v>
      </c>
      <c r="B29" s="20">
        <v>43165</v>
      </c>
      <c r="C29" s="21">
        <v>3.6</v>
      </c>
      <c r="D29" s="22">
        <v>1</v>
      </c>
      <c r="E29" s="23">
        <v>200</v>
      </c>
      <c r="F29" s="24" t="s">
        <v>37</v>
      </c>
      <c r="G29" s="19" t="s">
        <v>35</v>
      </c>
      <c r="H29" s="25">
        <v>10</v>
      </c>
      <c r="J29" s="20">
        <v>43178</v>
      </c>
      <c r="K29" s="19" t="s">
        <v>26</v>
      </c>
      <c r="L29" s="23">
        <v>70</v>
      </c>
      <c r="M29" s="20" t="s">
        <v>32</v>
      </c>
      <c r="N29" s="19" t="s">
        <v>56</v>
      </c>
      <c r="O29" s="23"/>
      <c r="Q29" s="48" t="s">
        <v>32</v>
      </c>
      <c r="R29" s="48">
        <f>SUMIF(G27:G37,Q29,H27:H37)</f>
        <v>30</v>
      </c>
      <c r="S29" s="48" t="s">
        <v>33</v>
      </c>
      <c r="T29" s="48">
        <f>SUMIF(K27:K37,S29,L27:L37)</f>
        <v>41.8</v>
      </c>
      <c r="U29" s="48" t="s">
        <v>117</v>
      </c>
      <c r="V29" s="49">
        <f>ROUND(V27*W29,1)</f>
        <v>1227.3</v>
      </c>
      <c r="W29" s="51">
        <v>0.3</v>
      </c>
    </row>
    <row r="30" spans="1:23">
      <c r="A30" s="19">
        <v>4</v>
      </c>
      <c r="B30" s="20">
        <v>43176</v>
      </c>
      <c r="C30" s="21">
        <v>3.17</v>
      </c>
      <c r="D30" s="22">
        <v>1</v>
      </c>
      <c r="E30" s="23">
        <v>349.2</v>
      </c>
      <c r="F30" s="27" t="s">
        <v>57</v>
      </c>
      <c r="G30" s="19" t="s">
        <v>27</v>
      </c>
      <c r="H30" s="25">
        <v>17.5</v>
      </c>
      <c r="J30" s="20">
        <v>43178</v>
      </c>
      <c r="K30" s="19" t="s">
        <v>29</v>
      </c>
      <c r="L30" s="23">
        <v>160</v>
      </c>
      <c r="M30" s="20" t="s">
        <v>32</v>
      </c>
      <c r="N30" s="19" t="s">
        <v>48</v>
      </c>
      <c r="O30" s="23"/>
      <c r="Q30" s="48" t="s">
        <v>35</v>
      </c>
      <c r="R30" s="48">
        <f>SUMIF(G27:G37,Q30,H27:H37)</f>
        <v>10</v>
      </c>
      <c r="S30" s="48" t="s">
        <v>36</v>
      </c>
      <c r="T30" s="48">
        <f>SUMIF(K27:K37,S30,L27:L37)</f>
        <v>0</v>
      </c>
      <c r="U30" s="48"/>
      <c r="V30" s="52"/>
      <c r="W30" s="51"/>
    </row>
    <row r="31" spans="1:23">
      <c r="A31" s="19">
        <v>5</v>
      </c>
      <c r="B31" s="20">
        <v>43176</v>
      </c>
      <c r="C31" s="21">
        <v>3.19</v>
      </c>
      <c r="D31" s="22">
        <v>1</v>
      </c>
      <c r="E31" s="23">
        <v>349.2</v>
      </c>
      <c r="F31" s="24" t="s">
        <v>24</v>
      </c>
      <c r="G31" s="19" t="s">
        <v>25</v>
      </c>
      <c r="H31" s="25">
        <v>17.5</v>
      </c>
      <c r="J31" s="20">
        <v>43179</v>
      </c>
      <c r="K31" s="19" t="s">
        <v>26</v>
      </c>
      <c r="L31" s="23">
        <v>70</v>
      </c>
      <c r="M31" s="20" t="s">
        <v>32</v>
      </c>
      <c r="N31" s="19" t="s">
        <v>56</v>
      </c>
      <c r="O31" s="23"/>
      <c r="Q31" s="48" t="s">
        <v>30</v>
      </c>
      <c r="R31" s="48">
        <f>SUMIF(G27:G37,Q31,H27:H37)</f>
        <v>0</v>
      </c>
      <c r="S31" s="48" t="s">
        <v>38</v>
      </c>
      <c r="T31" s="48">
        <f>SUMIF(K27:K37,S31,L27:L37)</f>
        <v>0</v>
      </c>
      <c r="U31" s="48"/>
      <c r="V31" s="52"/>
      <c r="W31" s="51"/>
    </row>
    <row r="32" spans="1:23">
      <c r="A32" s="19">
        <v>6</v>
      </c>
      <c r="B32" s="20">
        <v>43177</v>
      </c>
      <c r="C32" s="21">
        <v>3.18</v>
      </c>
      <c r="D32" s="22">
        <v>1</v>
      </c>
      <c r="E32" s="23">
        <v>349.2</v>
      </c>
      <c r="F32" s="27" t="s">
        <v>57</v>
      </c>
      <c r="G32" s="19" t="s">
        <v>27</v>
      </c>
      <c r="H32" s="25">
        <v>17.5</v>
      </c>
      <c r="J32" s="20">
        <v>43180</v>
      </c>
      <c r="K32" s="19" t="s">
        <v>26</v>
      </c>
      <c r="L32" s="23">
        <v>70</v>
      </c>
      <c r="M32" s="20" t="s">
        <v>25</v>
      </c>
      <c r="N32" s="19">
        <v>3.22</v>
      </c>
      <c r="O32" s="23"/>
      <c r="Q32" s="48" t="s">
        <v>39</v>
      </c>
      <c r="R32" s="48">
        <f>SUMIF(G27:G37,Q32,H27:H37)</f>
        <v>0</v>
      </c>
      <c r="S32" s="48" t="s">
        <v>40</v>
      </c>
      <c r="T32" s="48">
        <f>SUMIF(K27:K37,S32,L27:L37)</f>
        <v>0</v>
      </c>
      <c r="U32" s="48"/>
      <c r="V32" s="48"/>
      <c r="W32" s="50"/>
    </row>
    <row r="33" spans="1:15">
      <c r="A33" s="19">
        <v>7</v>
      </c>
      <c r="B33" s="20">
        <v>43179</v>
      </c>
      <c r="C33" s="34">
        <v>3.2</v>
      </c>
      <c r="D33" s="22">
        <v>1</v>
      </c>
      <c r="E33" s="23">
        <v>349.2</v>
      </c>
      <c r="F33" s="24" t="s">
        <v>24</v>
      </c>
      <c r="G33" s="19" t="s">
        <v>25</v>
      </c>
      <c r="H33" s="25">
        <f t="shared" ref="H33:H37" si="7">ROUND(E33*0.05,1)</f>
        <v>17.5</v>
      </c>
      <c r="J33" s="20">
        <v>43181</v>
      </c>
      <c r="K33" s="19" t="s">
        <v>33</v>
      </c>
      <c r="L33" s="23">
        <v>41.8</v>
      </c>
      <c r="M33" s="20" t="s">
        <v>32</v>
      </c>
      <c r="N33" s="19" t="s">
        <v>128</v>
      </c>
      <c r="O33" s="23"/>
    </row>
    <row r="34" spans="1:15">
      <c r="A34" s="19">
        <v>8</v>
      </c>
      <c r="B34" s="20">
        <v>43180</v>
      </c>
      <c r="C34" s="34">
        <v>3.21</v>
      </c>
      <c r="D34" s="22">
        <v>1</v>
      </c>
      <c r="E34" s="23">
        <v>388</v>
      </c>
      <c r="F34" s="24" t="s">
        <v>37</v>
      </c>
      <c r="G34" s="19" t="s">
        <v>25</v>
      </c>
      <c r="H34" s="25">
        <f t="shared" si="7"/>
        <v>19.4</v>
      </c>
      <c r="J34" s="20">
        <v>43190</v>
      </c>
      <c r="K34" s="19" t="s">
        <v>26</v>
      </c>
      <c r="L34" s="23">
        <v>70</v>
      </c>
      <c r="M34" s="20" t="s">
        <v>32</v>
      </c>
      <c r="N34" s="19" t="s">
        <v>56</v>
      </c>
      <c r="O34" s="23"/>
    </row>
    <row r="35" spans="1:15">
      <c r="A35" s="19">
        <v>9</v>
      </c>
      <c r="B35" s="20">
        <v>43181</v>
      </c>
      <c r="C35" s="34" t="s">
        <v>129</v>
      </c>
      <c r="D35" s="22">
        <v>3</v>
      </c>
      <c r="E35" s="23">
        <f>388*3</f>
        <v>1164</v>
      </c>
      <c r="F35" s="24" t="s">
        <v>37</v>
      </c>
      <c r="G35" s="19" t="s">
        <v>25</v>
      </c>
      <c r="H35" s="25">
        <f t="shared" si="7"/>
        <v>58.2</v>
      </c>
      <c r="J35" s="20"/>
      <c r="K35" s="19"/>
      <c r="L35" s="23"/>
      <c r="M35" s="20"/>
      <c r="N35" s="19"/>
      <c r="O35" s="23"/>
    </row>
    <row r="36" spans="1:15">
      <c r="A36" s="19">
        <v>10</v>
      </c>
      <c r="B36" s="20">
        <v>43184</v>
      </c>
      <c r="C36" s="21" t="s">
        <v>130</v>
      </c>
      <c r="D36" s="22">
        <v>6</v>
      </c>
      <c r="E36" s="23">
        <v>1212.2</v>
      </c>
      <c r="F36" s="24" t="s">
        <v>57</v>
      </c>
      <c r="G36" s="19" t="s">
        <v>27</v>
      </c>
      <c r="H36" s="25">
        <f t="shared" si="7"/>
        <v>60.6</v>
      </c>
      <c r="J36" s="20"/>
      <c r="K36" s="19"/>
      <c r="L36" s="23"/>
      <c r="M36" s="20"/>
      <c r="N36" s="19"/>
      <c r="O36" s="23"/>
    </row>
    <row r="37" spans="1:15">
      <c r="A37" s="19">
        <v>11</v>
      </c>
      <c r="B37" s="20"/>
      <c r="C37" s="20"/>
      <c r="D37" s="22"/>
      <c r="E37" s="23"/>
      <c r="F37" s="24"/>
      <c r="G37" s="19"/>
      <c r="H37" s="25">
        <f t="shared" si="7"/>
        <v>0</v>
      </c>
      <c r="J37" s="20"/>
      <c r="K37" s="19"/>
      <c r="L37" s="23"/>
      <c r="M37" s="20"/>
      <c r="N37" s="19"/>
      <c r="O37" s="23"/>
    </row>
    <row r="38" ht="30" customHeight="1" spans="1:20">
      <c r="A38" s="75" t="s">
        <v>70</v>
      </c>
      <c r="B38" s="13"/>
      <c r="C38" s="14"/>
      <c r="D38" s="15">
        <f>SUM(D39:D53)</f>
        <v>22</v>
      </c>
      <c r="E38" s="16">
        <f>SUM(E39:E53)</f>
        <v>4770.3</v>
      </c>
      <c r="F38" s="14"/>
      <c r="G38" s="14"/>
      <c r="H38" s="16">
        <f>SUM(H39:H53)</f>
        <v>238.4</v>
      </c>
      <c r="J38" s="14"/>
      <c r="K38" s="14"/>
      <c r="L38" s="16">
        <f>SUM(L39:L53)</f>
        <v>0</v>
      </c>
      <c r="M38" s="14"/>
      <c r="N38" s="14"/>
      <c r="O38" s="16"/>
      <c r="R38" s="48">
        <f>SUM(R39:R44)</f>
        <v>238.4</v>
      </c>
      <c r="S38" s="48"/>
      <c r="T38" s="49">
        <f>SUM(T39:T44)</f>
        <v>0</v>
      </c>
    </row>
    <row r="39" spans="1:23">
      <c r="A39" s="19">
        <v>1</v>
      </c>
      <c r="B39" s="20"/>
      <c r="C39" s="20"/>
      <c r="D39" s="22"/>
      <c r="E39" s="23"/>
      <c r="F39" s="24"/>
      <c r="G39" s="19"/>
      <c r="H39" s="19"/>
      <c r="J39" s="40"/>
      <c r="K39" s="19"/>
      <c r="L39" s="23"/>
      <c r="M39" s="40"/>
      <c r="N39" s="19"/>
      <c r="O39" s="23"/>
      <c r="Q39" s="48" t="s">
        <v>27</v>
      </c>
      <c r="R39" s="48">
        <f>SUMIF(G39:G53,Q39,H39:H53)</f>
        <v>69.5</v>
      </c>
      <c r="S39" s="48" t="s">
        <v>26</v>
      </c>
      <c r="T39" s="48">
        <f>SUMIF(K39:K53,S39,L39:L53)</f>
        <v>0</v>
      </c>
      <c r="U39" s="48" t="s">
        <v>28</v>
      </c>
      <c r="V39" s="49">
        <f>O38</f>
        <v>0</v>
      </c>
      <c r="W39" s="50"/>
    </row>
    <row r="40" spans="1:23">
      <c r="A40" s="19">
        <v>2</v>
      </c>
      <c r="B40" s="20"/>
      <c r="C40" s="20"/>
      <c r="D40" s="22"/>
      <c r="E40" s="23"/>
      <c r="F40" s="19"/>
      <c r="G40" s="19"/>
      <c r="H40" s="19"/>
      <c r="J40" s="20"/>
      <c r="K40" s="19"/>
      <c r="L40" s="23"/>
      <c r="M40" s="20"/>
      <c r="N40" s="19"/>
      <c r="O40" s="23"/>
      <c r="Q40" s="48" t="s">
        <v>25</v>
      </c>
      <c r="R40" s="48">
        <f>SUMIF(G39:G53,Q40,H39:H53)</f>
        <v>110</v>
      </c>
      <c r="S40" s="48" t="s">
        <v>29</v>
      </c>
      <c r="T40" s="48">
        <f>SUMIF(K39:K53,S40,L39:L53)</f>
        <v>0</v>
      </c>
      <c r="U40" s="48" t="s">
        <v>115</v>
      </c>
      <c r="V40" s="49">
        <f>ROUND(V39*W40,1)</f>
        <v>0</v>
      </c>
      <c r="W40" s="51">
        <v>0.7</v>
      </c>
    </row>
    <row r="41" spans="1:23">
      <c r="A41" s="19">
        <v>3</v>
      </c>
      <c r="B41" s="20">
        <v>43183</v>
      </c>
      <c r="C41" s="20" t="s">
        <v>131</v>
      </c>
      <c r="D41" s="22">
        <v>5</v>
      </c>
      <c r="E41" s="23">
        <v>997.3</v>
      </c>
      <c r="F41" s="24" t="s">
        <v>43</v>
      </c>
      <c r="G41" s="19" t="s">
        <v>32</v>
      </c>
      <c r="H41" s="25">
        <f t="shared" ref="H41:H50" si="8">ROUND(E41*0.05,1)</f>
        <v>49.9</v>
      </c>
      <c r="J41" s="20"/>
      <c r="K41" s="19"/>
      <c r="L41" s="23"/>
      <c r="M41" s="20"/>
      <c r="N41" s="19"/>
      <c r="O41" s="23"/>
      <c r="Q41" s="48" t="s">
        <v>32</v>
      </c>
      <c r="R41" s="48">
        <f>SUMIF(G39:G53,Q41,H39:H53)</f>
        <v>58.9</v>
      </c>
      <c r="S41" s="48" t="s">
        <v>33</v>
      </c>
      <c r="T41" s="48">
        <f>SUMIF(K39:K53,S41,L39:L53)</f>
        <v>0</v>
      </c>
      <c r="U41" s="48" t="s">
        <v>117</v>
      </c>
      <c r="V41" s="49">
        <f>ROUND(V39*W41,1)</f>
        <v>0</v>
      </c>
      <c r="W41" s="51">
        <v>0.3</v>
      </c>
    </row>
    <row r="42" spans="1:23">
      <c r="A42" s="19">
        <v>4</v>
      </c>
      <c r="B42" s="20">
        <v>43198</v>
      </c>
      <c r="C42" s="21" t="s">
        <v>132</v>
      </c>
      <c r="D42" s="22">
        <v>2</v>
      </c>
      <c r="E42" s="23">
        <v>392.4</v>
      </c>
      <c r="F42" s="24" t="s">
        <v>57</v>
      </c>
      <c r="G42" s="19" t="s">
        <v>27</v>
      </c>
      <c r="H42" s="25">
        <f t="shared" si="8"/>
        <v>19.6</v>
      </c>
      <c r="J42" s="20"/>
      <c r="K42" s="19"/>
      <c r="L42" s="23"/>
      <c r="M42" s="20"/>
      <c r="N42" s="19"/>
      <c r="O42" s="23"/>
      <c r="Q42" s="48" t="s">
        <v>35</v>
      </c>
      <c r="R42" s="48">
        <f>SUMIF(G39:G53,Q42,H39:H53)</f>
        <v>0</v>
      </c>
      <c r="S42" s="48" t="s">
        <v>36</v>
      </c>
      <c r="T42" s="48">
        <f>SUMIF(K39:K53,S42,L39:L53)</f>
        <v>0</v>
      </c>
      <c r="U42" s="48"/>
      <c r="V42" s="52"/>
      <c r="W42" s="51"/>
    </row>
    <row r="43" spans="1:23">
      <c r="A43" s="19">
        <v>5</v>
      </c>
      <c r="B43" s="20">
        <v>43198</v>
      </c>
      <c r="C43" s="21" t="s">
        <v>133</v>
      </c>
      <c r="D43" s="22">
        <v>2</v>
      </c>
      <c r="E43" s="23">
        <v>392.4</v>
      </c>
      <c r="F43" s="24" t="s">
        <v>57</v>
      </c>
      <c r="G43" s="19" t="s">
        <v>27</v>
      </c>
      <c r="H43" s="25">
        <f t="shared" si="8"/>
        <v>19.6</v>
      </c>
      <c r="J43" s="20"/>
      <c r="K43" s="19"/>
      <c r="L43" s="23"/>
      <c r="M43" s="20"/>
      <c r="N43" s="19"/>
      <c r="O43" s="23"/>
      <c r="Q43" s="48" t="s">
        <v>30</v>
      </c>
      <c r="R43" s="48">
        <f>SUMIF(G39:G53,Q43,H39:H53)</f>
        <v>0</v>
      </c>
      <c r="S43" s="48" t="s">
        <v>38</v>
      </c>
      <c r="T43" s="48">
        <f>SUMIF(K39:K53,S43,L39:L53)</f>
        <v>0</v>
      </c>
      <c r="U43" s="48"/>
      <c r="V43" s="52"/>
      <c r="W43" s="51"/>
    </row>
    <row r="44" spans="1:23">
      <c r="A44" s="19">
        <v>6</v>
      </c>
      <c r="B44" s="20">
        <v>43198</v>
      </c>
      <c r="C44" s="21" t="s">
        <v>134</v>
      </c>
      <c r="D44" s="22">
        <v>2</v>
      </c>
      <c r="E44" s="23">
        <v>392.4</v>
      </c>
      <c r="F44" s="24" t="s">
        <v>57</v>
      </c>
      <c r="G44" s="19" t="s">
        <v>27</v>
      </c>
      <c r="H44" s="25">
        <f t="shared" si="8"/>
        <v>19.6</v>
      </c>
      <c r="J44" s="20"/>
      <c r="K44" s="19"/>
      <c r="L44" s="23"/>
      <c r="M44" s="20"/>
      <c r="N44" s="19"/>
      <c r="O44" s="23"/>
      <c r="Q44" s="48" t="s">
        <v>39</v>
      </c>
      <c r="R44" s="48">
        <f>SUMIF(G39:G53,Q44,H39:H53)</f>
        <v>0</v>
      </c>
      <c r="S44" s="48" t="s">
        <v>40</v>
      </c>
      <c r="T44" s="48">
        <f>SUMIF(K39:K53,S44,L39:L53)</f>
        <v>0</v>
      </c>
      <c r="U44" s="48"/>
      <c r="V44" s="48"/>
      <c r="W44" s="50"/>
    </row>
    <row r="45" spans="1:15">
      <c r="A45" s="19">
        <v>7</v>
      </c>
      <c r="B45" s="20">
        <v>43199</v>
      </c>
      <c r="C45" s="21" t="s">
        <v>135</v>
      </c>
      <c r="D45" s="22">
        <v>2</v>
      </c>
      <c r="E45" s="23">
        <v>428.4</v>
      </c>
      <c r="F45" s="24" t="s">
        <v>24</v>
      </c>
      <c r="G45" s="19" t="s">
        <v>25</v>
      </c>
      <c r="H45" s="25">
        <f t="shared" si="8"/>
        <v>21.4</v>
      </c>
      <c r="J45" s="20"/>
      <c r="K45" s="19"/>
      <c r="L45" s="23"/>
      <c r="M45" s="20"/>
      <c r="N45" s="19"/>
      <c r="O45" s="23"/>
    </row>
    <row r="46" spans="1:15">
      <c r="A46" s="19">
        <v>8</v>
      </c>
      <c r="B46" s="20">
        <v>43204</v>
      </c>
      <c r="C46" s="21" t="s">
        <v>136</v>
      </c>
      <c r="D46" s="22">
        <v>4</v>
      </c>
      <c r="E46" s="23">
        <v>1126.8</v>
      </c>
      <c r="F46" s="24" t="s">
        <v>24</v>
      </c>
      <c r="G46" s="19" t="s">
        <v>25</v>
      </c>
      <c r="H46" s="25">
        <f t="shared" si="8"/>
        <v>56.3</v>
      </c>
      <c r="J46" s="20"/>
      <c r="K46" s="19"/>
      <c r="L46" s="23"/>
      <c r="M46" s="20"/>
      <c r="N46" s="19"/>
      <c r="O46" s="23"/>
    </row>
    <row r="47" spans="1:15">
      <c r="A47" s="19">
        <v>9</v>
      </c>
      <c r="B47" s="20">
        <v>43207</v>
      </c>
      <c r="C47" s="21">
        <v>4.17</v>
      </c>
      <c r="D47" s="22">
        <v>1</v>
      </c>
      <c r="E47" s="23">
        <v>218</v>
      </c>
      <c r="F47" s="27" t="s">
        <v>37</v>
      </c>
      <c r="G47" s="19" t="s">
        <v>25</v>
      </c>
      <c r="H47" s="25">
        <f t="shared" si="8"/>
        <v>10.9</v>
      </c>
      <c r="J47" s="20"/>
      <c r="K47" s="19"/>
      <c r="L47" s="23"/>
      <c r="M47" s="20"/>
      <c r="N47" s="19"/>
      <c r="O47" s="23"/>
    </row>
    <row r="48" spans="1:15">
      <c r="A48" s="19">
        <v>10</v>
      </c>
      <c r="B48" s="20">
        <v>43209</v>
      </c>
      <c r="C48" s="21">
        <v>4.21</v>
      </c>
      <c r="D48" s="22">
        <v>1</v>
      </c>
      <c r="E48" s="23">
        <v>214.2</v>
      </c>
      <c r="F48" s="24" t="s">
        <v>46</v>
      </c>
      <c r="G48" s="19" t="s">
        <v>25</v>
      </c>
      <c r="H48" s="25">
        <f t="shared" si="8"/>
        <v>10.7</v>
      </c>
      <c r="J48" s="20"/>
      <c r="K48" s="19"/>
      <c r="L48" s="23"/>
      <c r="M48" s="20"/>
      <c r="N48" s="19"/>
      <c r="O48" s="23"/>
    </row>
    <row r="49" spans="1:15">
      <c r="A49" s="19"/>
      <c r="B49" s="20">
        <v>43211</v>
      </c>
      <c r="C49" s="21">
        <v>4.21</v>
      </c>
      <c r="D49" s="22">
        <v>1</v>
      </c>
      <c r="E49" s="23">
        <v>180</v>
      </c>
      <c r="F49" s="32" t="s">
        <v>37</v>
      </c>
      <c r="G49" s="19" t="s">
        <v>32</v>
      </c>
      <c r="H49" s="25">
        <f t="shared" si="8"/>
        <v>9</v>
      </c>
      <c r="J49" s="20"/>
      <c r="K49" s="19"/>
      <c r="L49" s="23"/>
      <c r="M49" s="20"/>
      <c r="N49" s="19"/>
      <c r="O49" s="23"/>
    </row>
    <row r="50" spans="1:15">
      <c r="A50" s="19"/>
      <c r="B50" s="20">
        <v>43214</v>
      </c>
      <c r="C50" s="21">
        <v>4.24</v>
      </c>
      <c r="D50" s="22">
        <v>1</v>
      </c>
      <c r="E50" s="23">
        <v>214.2</v>
      </c>
      <c r="F50" s="24" t="s">
        <v>57</v>
      </c>
      <c r="G50" s="19" t="s">
        <v>27</v>
      </c>
      <c r="H50" s="25">
        <f t="shared" si="8"/>
        <v>10.7</v>
      </c>
      <c r="J50" s="20"/>
      <c r="K50" s="19"/>
      <c r="L50" s="23"/>
      <c r="M50" s="20"/>
      <c r="N50" s="19"/>
      <c r="O50" s="23"/>
    </row>
    <row r="51" spans="1:15">
      <c r="A51" s="19"/>
      <c r="B51" s="20"/>
      <c r="C51" s="21"/>
      <c r="D51" s="22"/>
      <c r="E51" s="23"/>
      <c r="F51" s="76"/>
      <c r="G51" s="19"/>
      <c r="H51" s="25"/>
      <c r="J51" s="20"/>
      <c r="K51" s="19"/>
      <c r="L51" s="23"/>
      <c r="M51" s="20"/>
      <c r="N51" s="19"/>
      <c r="O51" s="23"/>
    </row>
    <row r="52" spans="1:15">
      <c r="A52" s="19"/>
      <c r="B52" s="20"/>
      <c r="C52" s="21"/>
      <c r="D52" s="22"/>
      <c r="E52" s="23"/>
      <c r="F52" s="76"/>
      <c r="G52" s="19"/>
      <c r="H52" s="25"/>
      <c r="J52" s="20"/>
      <c r="K52" s="19"/>
      <c r="L52" s="23"/>
      <c r="M52" s="20"/>
      <c r="N52" s="19"/>
      <c r="O52" s="23"/>
    </row>
    <row r="53" spans="1:15">
      <c r="A53" s="19">
        <v>11</v>
      </c>
      <c r="B53" s="20">
        <v>43210</v>
      </c>
      <c r="C53" s="21">
        <v>4.22</v>
      </c>
      <c r="D53" s="22">
        <v>1</v>
      </c>
      <c r="E53" s="23">
        <v>214.2</v>
      </c>
      <c r="F53" s="32" t="s">
        <v>46</v>
      </c>
      <c r="G53" s="19" t="s">
        <v>25</v>
      </c>
      <c r="H53" s="25">
        <f>ROUND(E53*0.05,1)</f>
        <v>10.7</v>
      </c>
      <c r="J53" s="20"/>
      <c r="K53" s="19"/>
      <c r="L53" s="23"/>
      <c r="M53" s="20"/>
      <c r="N53" s="19"/>
      <c r="O53" s="23"/>
    </row>
    <row r="54" ht="30" customHeight="1" spans="1:15">
      <c r="A54" s="75" t="s">
        <v>76</v>
      </c>
      <c r="B54" s="13"/>
      <c r="C54" s="14"/>
      <c r="D54" s="15">
        <f t="shared" ref="D54:H54" si="9">SUM(D55:D65)</f>
        <v>0</v>
      </c>
      <c r="E54" s="16">
        <f t="shared" si="9"/>
        <v>0</v>
      </c>
      <c r="F54" s="14"/>
      <c r="G54" s="14"/>
      <c r="H54" s="16">
        <f t="shared" si="9"/>
        <v>0</v>
      </c>
      <c r="J54" s="14"/>
      <c r="K54" s="14"/>
      <c r="L54" s="16">
        <f>SUM(L55:L65)</f>
        <v>0</v>
      </c>
      <c r="M54" s="14"/>
      <c r="N54" s="14"/>
      <c r="O54" s="16"/>
    </row>
    <row r="55" spans="1:15">
      <c r="A55" s="19">
        <v>1</v>
      </c>
      <c r="B55" s="20"/>
      <c r="C55" s="20"/>
      <c r="D55" s="22"/>
      <c r="E55" s="23"/>
      <c r="F55" s="24"/>
      <c r="G55" s="19"/>
      <c r="H55" s="19"/>
      <c r="J55" s="40"/>
      <c r="K55" s="19"/>
      <c r="L55" s="23"/>
      <c r="M55" s="40"/>
      <c r="N55" s="19"/>
      <c r="O55" s="23"/>
    </row>
    <row r="56" spans="1:15">
      <c r="A56" s="19">
        <v>2</v>
      </c>
      <c r="B56" s="20"/>
      <c r="C56" s="20"/>
      <c r="D56" s="22"/>
      <c r="E56" s="23"/>
      <c r="F56" s="19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3</v>
      </c>
      <c r="B57" s="20"/>
      <c r="C57" s="20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4</v>
      </c>
      <c r="B58" s="20"/>
      <c r="C58" s="20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5</v>
      </c>
      <c r="B59" s="20"/>
      <c r="C59" s="20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6</v>
      </c>
      <c r="B60" s="20"/>
      <c r="C60" s="20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7</v>
      </c>
      <c r="B61" s="20"/>
      <c r="C61" s="20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8</v>
      </c>
      <c r="B62" s="20"/>
      <c r="C62" s="20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9</v>
      </c>
      <c r="B63" s="20"/>
      <c r="C63" s="20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10</v>
      </c>
      <c r="B64" s="20"/>
      <c r="C64" s="20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spans="1:15">
      <c r="A65" s="19">
        <v>11</v>
      </c>
      <c r="B65" s="20"/>
      <c r="C65" s="20"/>
      <c r="D65" s="22"/>
      <c r="E65" s="23"/>
      <c r="F65" s="24"/>
      <c r="G65" s="19"/>
      <c r="H65" s="19"/>
      <c r="J65" s="20"/>
      <c r="K65" s="19"/>
      <c r="L65" s="23"/>
      <c r="M65" s="20"/>
      <c r="N65" s="19"/>
      <c r="O65" s="23"/>
    </row>
    <row r="66" ht="30" customHeight="1" spans="1:15">
      <c r="A66" s="75" t="s">
        <v>80</v>
      </c>
      <c r="B66" s="13"/>
      <c r="C66" s="14"/>
      <c r="D66" s="15">
        <f t="shared" ref="D66:H66" si="10">SUM(D67:D77)</f>
        <v>0</v>
      </c>
      <c r="E66" s="16">
        <f t="shared" si="10"/>
        <v>0</v>
      </c>
      <c r="F66" s="14"/>
      <c r="G66" s="14"/>
      <c r="H66" s="16">
        <f t="shared" si="10"/>
        <v>0</v>
      </c>
      <c r="J66" s="14"/>
      <c r="K66" s="14"/>
      <c r="L66" s="16">
        <f>SUM(L67:L77)</f>
        <v>0</v>
      </c>
      <c r="M66" s="14"/>
      <c r="N66" s="14"/>
      <c r="O66" s="16"/>
    </row>
    <row r="67" spans="1:15">
      <c r="A67" s="19">
        <v>1</v>
      </c>
      <c r="B67" s="20"/>
      <c r="C67" s="20"/>
      <c r="D67" s="22"/>
      <c r="E67" s="23"/>
      <c r="F67" s="24"/>
      <c r="G67" s="19"/>
      <c r="H67" s="19"/>
      <c r="J67" s="40"/>
      <c r="K67" s="19"/>
      <c r="L67" s="23"/>
      <c r="M67" s="40"/>
      <c r="N67" s="19"/>
      <c r="O67" s="23"/>
    </row>
    <row r="68" spans="1:15">
      <c r="A68" s="19">
        <v>2</v>
      </c>
      <c r="B68" s="20"/>
      <c r="C68" s="20"/>
      <c r="D68" s="22"/>
      <c r="E68" s="23"/>
      <c r="F68" s="19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3</v>
      </c>
      <c r="B69" s="20"/>
      <c r="C69" s="20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4</v>
      </c>
      <c r="B70" s="20"/>
      <c r="C70" s="20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5</v>
      </c>
      <c r="B71" s="20"/>
      <c r="C71" s="20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6</v>
      </c>
      <c r="B72" s="20"/>
      <c r="C72" s="20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7</v>
      </c>
      <c r="B73" s="20"/>
      <c r="C73" s="20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8</v>
      </c>
      <c r="B74" s="20"/>
      <c r="C74" s="20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9</v>
      </c>
      <c r="B75" s="20"/>
      <c r="C75" s="20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10</v>
      </c>
      <c r="B76" s="20"/>
      <c r="C76" s="20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spans="1:15">
      <c r="A77" s="19">
        <v>11</v>
      </c>
      <c r="B77" s="20"/>
      <c r="C77" s="20"/>
      <c r="D77" s="22"/>
      <c r="E77" s="23"/>
      <c r="F77" s="24"/>
      <c r="G77" s="19"/>
      <c r="H77" s="19"/>
      <c r="J77" s="20"/>
      <c r="K77" s="19"/>
      <c r="L77" s="23"/>
      <c r="M77" s="20"/>
      <c r="N77" s="19"/>
      <c r="O77" s="23"/>
    </row>
    <row r="78" ht="30" customHeight="1" spans="1:15">
      <c r="A78" s="75" t="s">
        <v>82</v>
      </c>
      <c r="B78" s="13"/>
      <c r="C78" s="14"/>
      <c r="D78" s="15">
        <f t="shared" ref="D78:H78" si="11">SUM(D79:D89)</f>
        <v>0</v>
      </c>
      <c r="E78" s="16">
        <f t="shared" si="11"/>
        <v>0</v>
      </c>
      <c r="F78" s="14"/>
      <c r="G78" s="14"/>
      <c r="H78" s="16">
        <f t="shared" si="11"/>
        <v>0</v>
      </c>
      <c r="J78" s="14"/>
      <c r="K78" s="14"/>
      <c r="L78" s="16">
        <f>SUM(L79:L89)</f>
        <v>0</v>
      </c>
      <c r="M78" s="14"/>
      <c r="N78" s="14"/>
      <c r="O78" s="16"/>
    </row>
    <row r="79" spans="1:15">
      <c r="A79" s="19">
        <v>1</v>
      </c>
      <c r="B79" s="20"/>
      <c r="C79" s="20"/>
      <c r="D79" s="22"/>
      <c r="E79" s="23"/>
      <c r="F79" s="24"/>
      <c r="G79" s="19"/>
      <c r="H79" s="19"/>
      <c r="J79" s="40"/>
      <c r="K79" s="19"/>
      <c r="L79" s="23"/>
      <c r="M79" s="40"/>
      <c r="N79" s="19"/>
      <c r="O79" s="23"/>
    </row>
    <row r="80" spans="1:15">
      <c r="A80" s="19">
        <v>2</v>
      </c>
      <c r="B80" s="20"/>
      <c r="C80" s="20"/>
      <c r="D80" s="22"/>
      <c r="E80" s="23"/>
      <c r="F80" s="19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3</v>
      </c>
      <c r="B81" s="20"/>
      <c r="C81" s="20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4</v>
      </c>
      <c r="B82" s="20"/>
      <c r="C82" s="20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5</v>
      </c>
      <c r="B83" s="20"/>
      <c r="C83" s="20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6</v>
      </c>
      <c r="B84" s="20"/>
      <c r="C84" s="20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7</v>
      </c>
      <c r="B85" s="20"/>
      <c r="C85" s="20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8</v>
      </c>
      <c r="B86" s="20"/>
      <c r="C86" s="20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9</v>
      </c>
      <c r="B87" s="20"/>
      <c r="C87" s="20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10</v>
      </c>
      <c r="B88" s="20"/>
      <c r="C88" s="20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spans="1:15">
      <c r="A89" s="19">
        <v>11</v>
      </c>
      <c r="B89" s="20"/>
      <c r="C89" s="20"/>
      <c r="D89" s="22"/>
      <c r="E89" s="23"/>
      <c r="F89" s="24"/>
      <c r="G89" s="19"/>
      <c r="H89" s="19"/>
      <c r="J89" s="20"/>
      <c r="K89" s="19"/>
      <c r="L89" s="23"/>
      <c r="M89" s="20"/>
      <c r="N89" s="19"/>
      <c r="O89" s="23"/>
    </row>
    <row r="90" ht="30" customHeight="1" spans="1:15">
      <c r="A90" s="75" t="s">
        <v>83</v>
      </c>
      <c r="B90" s="13"/>
      <c r="C90" s="14"/>
      <c r="D90" s="15">
        <f t="shared" ref="D90:H90" si="12">SUM(D91:D101)</f>
        <v>0</v>
      </c>
      <c r="E90" s="16">
        <f t="shared" si="12"/>
        <v>0</v>
      </c>
      <c r="F90" s="14"/>
      <c r="G90" s="14"/>
      <c r="H90" s="16">
        <f t="shared" si="12"/>
        <v>0</v>
      </c>
      <c r="J90" s="14"/>
      <c r="K90" s="14"/>
      <c r="L90" s="16">
        <f>SUM(L91:L101)</f>
        <v>0</v>
      </c>
      <c r="M90" s="14"/>
      <c r="N90" s="14"/>
      <c r="O90" s="16"/>
    </row>
    <row r="91" spans="1:15">
      <c r="A91" s="19">
        <v>1</v>
      </c>
      <c r="B91" s="20"/>
      <c r="C91" s="20"/>
      <c r="D91" s="22"/>
      <c r="E91" s="23"/>
      <c r="F91" s="24"/>
      <c r="G91" s="19"/>
      <c r="H91" s="19"/>
      <c r="J91" s="40"/>
      <c r="K91" s="19"/>
      <c r="L91" s="23"/>
      <c r="M91" s="40"/>
      <c r="N91" s="19"/>
      <c r="O91" s="23"/>
    </row>
    <row r="92" spans="1:15">
      <c r="A92" s="19">
        <v>2</v>
      </c>
      <c r="B92" s="20"/>
      <c r="C92" s="20"/>
      <c r="D92" s="22"/>
      <c r="E92" s="23"/>
      <c r="F92" s="19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3</v>
      </c>
      <c r="B93" s="20"/>
      <c r="C93" s="20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4</v>
      </c>
      <c r="B94" s="20"/>
      <c r="C94" s="20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5</v>
      </c>
      <c r="B95" s="20"/>
      <c r="C95" s="20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6</v>
      </c>
      <c r="B96" s="20"/>
      <c r="C96" s="20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7</v>
      </c>
      <c r="B97" s="20"/>
      <c r="C97" s="20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8</v>
      </c>
      <c r="B98" s="20"/>
      <c r="C98" s="20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9</v>
      </c>
      <c r="B99" s="20"/>
      <c r="C99" s="20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10</v>
      </c>
      <c r="B100" s="20"/>
      <c r="C100" s="20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spans="1:15">
      <c r="A101" s="19">
        <v>11</v>
      </c>
      <c r="B101" s="20"/>
      <c r="C101" s="20"/>
      <c r="D101" s="22"/>
      <c r="E101" s="23"/>
      <c r="F101" s="24"/>
      <c r="G101" s="19"/>
      <c r="H101" s="19"/>
      <c r="J101" s="20"/>
      <c r="K101" s="19"/>
      <c r="L101" s="23"/>
      <c r="M101" s="20"/>
      <c r="N101" s="19"/>
      <c r="O101" s="23"/>
    </row>
    <row r="102" ht="30" customHeight="1" spans="1:15">
      <c r="A102" s="75" t="s">
        <v>84</v>
      </c>
      <c r="B102" s="13"/>
      <c r="C102" s="14"/>
      <c r="D102" s="15">
        <f t="shared" ref="D102:H102" si="13">SUM(D103:D113)</f>
        <v>0</v>
      </c>
      <c r="E102" s="16">
        <f t="shared" si="13"/>
        <v>0</v>
      </c>
      <c r="F102" s="14"/>
      <c r="G102" s="14"/>
      <c r="H102" s="16">
        <f t="shared" si="13"/>
        <v>0</v>
      </c>
      <c r="J102" s="14"/>
      <c r="K102" s="14"/>
      <c r="L102" s="16">
        <f>SUM(L103:L113)</f>
        <v>0</v>
      </c>
      <c r="M102" s="14"/>
      <c r="N102" s="14"/>
      <c r="O102" s="16"/>
    </row>
    <row r="103" spans="1:15">
      <c r="A103" s="19">
        <v>1</v>
      </c>
      <c r="B103" s="20"/>
      <c r="C103" s="20"/>
      <c r="D103" s="22"/>
      <c r="E103" s="23"/>
      <c r="F103" s="24"/>
      <c r="G103" s="19"/>
      <c r="H103" s="19"/>
      <c r="J103" s="40"/>
      <c r="K103" s="19"/>
      <c r="L103" s="23"/>
      <c r="M103" s="40"/>
      <c r="N103" s="19"/>
      <c r="O103" s="23"/>
    </row>
    <row r="104" spans="1:15">
      <c r="A104" s="19">
        <v>2</v>
      </c>
      <c r="B104" s="20"/>
      <c r="C104" s="20"/>
      <c r="D104" s="22"/>
      <c r="E104" s="23"/>
      <c r="F104" s="19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3</v>
      </c>
      <c r="B105" s="20"/>
      <c r="C105" s="20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4</v>
      </c>
      <c r="B106" s="20"/>
      <c r="C106" s="20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5</v>
      </c>
      <c r="B107" s="20"/>
      <c r="C107" s="20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6</v>
      </c>
      <c r="B108" s="20"/>
      <c r="C108" s="20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7</v>
      </c>
      <c r="B109" s="20"/>
      <c r="C109" s="20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8</v>
      </c>
      <c r="B110" s="20"/>
      <c r="C110" s="20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9</v>
      </c>
      <c r="B111" s="20"/>
      <c r="C111" s="20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10</v>
      </c>
      <c r="B112" s="20"/>
      <c r="C112" s="20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spans="1:15">
      <c r="A113" s="19">
        <v>11</v>
      </c>
      <c r="B113" s="20"/>
      <c r="C113" s="20"/>
      <c r="D113" s="22"/>
      <c r="E113" s="23"/>
      <c r="F113" s="24"/>
      <c r="G113" s="19"/>
      <c r="H113" s="19"/>
      <c r="J113" s="20"/>
      <c r="K113" s="19"/>
      <c r="L113" s="23"/>
      <c r="M113" s="20"/>
      <c r="N113" s="19"/>
      <c r="O113" s="23"/>
    </row>
    <row r="114" ht="30" customHeight="1" spans="1:15">
      <c r="A114" s="75" t="s">
        <v>85</v>
      </c>
      <c r="B114" s="13"/>
      <c r="C114" s="14"/>
      <c r="D114" s="15">
        <f t="shared" ref="D114:H114" si="14">SUM(D115:D125)</f>
        <v>0</v>
      </c>
      <c r="E114" s="16">
        <f t="shared" si="14"/>
        <v>0</v>
      </c>
      <c r="F114" s="14"/>
      <c r="G114" s="14"/>
      <c r="H114" s="16">
        <f t="shared" si="14"/>
        <v>0</v>
      </c>
      <c r="J114" s="14"/>
      <c r="K114" s="14"/>
      <c r="L114" s="16">
        <f>SUM(L115:L125)</f>
        <v>0</v>
      </c>
      <c r="M114" s="14"/>
      <c r="N114" s="14"/>
      <c r="O114" s="16"/>
    </row>
    <row r="115" spans="1:15">
      <c r="A115" s="19">
        <v>1</v>
      </c>
      <c r="B115" s="20"/>
      <c r="C115" s="20"/>
      <c r="D115" s="22"/>
      <c r="E115" s="23"/>
      <c r="F115" s="24"/>
      <c r="G115" s="19"/>
      <c r="H115" s="19"/>
      <c r="J115" s="40"/>
      <c r="K115" s="19"/>
      <c r="L115" s="23"/>
      <c r="M115" s="40"/>
      <c r="N115" s="19"/>
      <c r="O115" s="23"/>
    </row>
    <row r="116" spans="1:15">
      <c r="A116" s="19">
        <v>2</v>
      </c>
      <c r="B116" s="20"/>
      <c r="C116" s="20"/>
      <c r="D116" s="22"/>
      <c r="E116" s="23"/>
      <c r="F116" s="19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3</v>
      </c>
      <c r="B117" s="20"/>
      <c r="C117" s="20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4</v>
      </c>
      <c r="B118" s="20"/>
      <c r="C118" s="20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5</v>
      </c>
      <c r="B119" s="20"/>
      <c r="C119" s="20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6</v>
      </c>
      <c r="B120" s="20"/>
      <c r="C120" s="20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7</v>
      </c>
      <c r="B121" s="20"/>
      <c r="C121" s="20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8</v>
      </c>
      <c r="B122" s="20"/>
      <c r="C122" s="20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9</v>
      </c>
      <c r="B123" s="20"/>
      <c r="C123" s="20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10</v>
      </c>
      <c r="B124" s="20"/>
      <c r="C124" s="20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spans="1:15">
      <c r="A125" s="19">
        <v>11</v>
      </c>
      <c r="B125" s="20"/>
      <c r="C125" s="20"/>
      <c r="D125" s="22"/>
      <c r="E125" s="23"/>
      <c r="F125" s="24"/>
      <c r="G125" s="19"/>
      <c r="H125" s="19"/>
      <c r="J125" s="20"/>
      <c r="K125" s="19"/>
      <c r="L125" s="23"/>
      <c r="M125" s="20"/>
      <c r="N125" s="19"/>
      <c r="O125" s="23"/>
    </row>
    <row r="126" ht="30" customHeight="1" spans="1:15">
      <c r="A126" s="75" t="s">
        <v>86</v>
      </c>
      <c r="B126" s="13"/>
      <c r="C126" s="14"/>
      <c r="D126" s="15">
        <f t="shared" ref="D126:H126" si="15">SUM(D127:D137)</f>
        <v>0</v>
      </c>
      <c r="E126" s="16">
        <f t="shared" si="15"/>
        <v>0</v>
      </c>
      <c r="F126" s="14"/>
      <c r="G126" s="14"/>
      <c r="H126" s="16">
        <f t="shared" si="15"/>
        <v>0</v>
      </c>
      <c r="J126" s="14"/>
      <c r="K126" s="14"/>
      <c r="L126" s="16">
        <f>SUM(L127:L137)</f>
        <v>0</v>
      </c>
      <c r="M126" s="14"/>
      <c r="N126" s="14"/>
      <c r="O126" s="16"/>
    </row>
    <row r="127" spans="1:15">
      <c r="A127" s="19">
        <v>1</v>
      </c>
      <c r="B127" s="20"/>
      <c r="C127" s="20"/>
      <c r="D127" s="22"/>
      <c r="E127" s="23"/>
      <c r="F127" s="24"/>
      <c r="G127" s="19"/>
      <c r="H127" s="19"/>
      <c r="J127" s="40"/>
      <c r="K127" s="19"/>
      <c r="L127" s="23"/>
      <c r="M127" s="40"/>
      <c r="N127" s="19"/>
      <c r="O127" s="23"/>
    </row>
    <row r="128" spans="1:15">
      <c r="A128" s="19">
        <v>2</v>
      </c>
      <c r="B128" s="20"/>
      <c r="C128" s="20"/>
      <c r="D128" s="22"/>
      <c r="E128" s="23"/>
      <c r="F128" s="19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3</v>
      </c>
      <c r="B129" s="20"/>
      <c r="C129" s="20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4</v>
      </c>
      <c r="B130" s="20"/>
      <c r="C130" s="20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5</v>
      </c>
      <c r="B131" s="20"/>
      <c r="C131" s="20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6</v>
      </c>
      <c r="B132" s="20"/>
      <c r="C132" s="20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7</v>
      </c>
      <c r="B133" s="20"/>
      <c r="C133" s="20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8</v>
      </c>
      <c r="B134" s="20"/>
      <c r="C134" s="20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9</v>
      </c>
      <c r="B135" s="20"/>
      <c r="C135" s="20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10</v>
      </c>
      <c r="B136" s="20"/>
      <c r="C136" s="20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spans="1:15">
      <c r="A137" s="19">
        <v>11</v>
      </c>
      <c r="B137" s="20"/>
      <c r="C137" s="20"/>
      <c r="D137" s="22"/>
      <c r="E137" s="23"/>
      <c r="F137" s="24"/>
      <c r="G137" s="19"/>
      <c r="H137" s="19"/>
      <c r="J137" s="20"/>
      <c r="K137" s="19"/>
      <c r="L137" s="23"/>
      <c r="M137" s="20"/>
      <c r="N137" s="19"/>
      <c r="O137" s="23"/>
    </row>
    <row r="138" ht="30" customHeight="1" spans="1:15">
      <c r="A138" s="75" t="s">
        <v>87</v>
      </c>
      <c r="B138" s="13"/>
      <c r="C138" s="14"/>
      <c r="D138" s="15">
        <f t="shared" ref="D138:H138" si="16">SUM(D139:D149)</f>
        <v>0</v>
      </c>
      <c r="E138" s="16">
        <f t="shared" si="16"/>
        <v>0</v>
      </c>
      <c r="F138" s="14"/>
      <c r="G138" s="14"/>
      <c r="H138" s="16">
        <f t="shared" si="16"/>
        <v>0</v>
      </c>
      <c r="J138" s="14"/>
      <c r="K138" s="14"/>
      <c r="L138" s="16">
        <f>SUM(L139:L149)</f>
        <v>0</v>
      </c>
      <c r="M138" s="14"/>
      <c r="N138" s="14"/>
      <c r="O138" s="16"/>
    </row>
    <row r="139" spans="1:15">
      <c r="A139" s="19">
        <v>1</v>
      </c>
      <c r="B139" s="20"/>
      <c r="C139" s="20"/>
      <c r="D139" s="22"/>
      <c r="E139" s="23"/>
      <c r="F139" s="24"/>
      <c r="G139" s="19"/>
      <c r="H139" s="19"/>
      <c r="J139" s="40"/>
      <c r="K139" s="19"/>
      <c r="L139" s="23"/>
      <c r="M139" s="40"/>
      <c r="N139" s="19"/>
      <c r="O139" s="23"/>
    </row>
    <row r="140" spans="1:15">
      <c r="A140" s="19">
        <v>2</v>
      </c>
      <c r="B140" s="20"/>
      <c r="C140" s="20"/>
      <c r="D140" s="22"/>
      <c r="E140" s="23"/>
      <c r="F140" s="19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3</v>
      </c>
      <c r="B141" s="20"/>
      <c r="C141" s="20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4</v>
      </c>
      <c r="B142" s="20"/>
      <c r="C142" s="20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5</v>
      </c>
      <c r="B143" s="20"/>
      <c r="C143" s="20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6</v>
      </c>
      <c r="B144" s="20"/>
      <c r="C144" s="20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7</v>
      </c>
      <c r="B145" s="20"/>
      <c r="C145" s="20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8</v>
      </c>
      <c r="B146" s="20"/>
      <c r="C146" s="20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9</v>
      </c>
      <c r="B147" s="20"/>
      <c r="C147" s="20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10</v>
      </c>
      <c r="B148" s="20"/>
      <c r="C148" s="20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  <row r="149" spans="1:15">
      <c r="A149" s="19">
        <v>11</v>
      </c>
      <c r="B149" s="20"/>
      <c r="C149" s="20"/>
      <c r="D149" s="22"/>
      <c r="E149" s="23"/>
      <c r="F149" s="24"/>
      <c r="G149" s="19"/>
      <c r="H149" s="19"/>
      <c r="J149" s="20"/>
      <c r="K149" s="19"/>
      <c r="L149" s="23"/>
      <c r="M149" s="20"/>
      <c r="N149" s="19"/>
      <c r="O149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11 N13 G15 N15 N21 G20:G25 G36:G37 G39:G41 G55:G65 G67:G77 G79:G89 G91:G101 G103:G113 G115:G125 G127:G137 G139:G149 N23:N25 N28:N37 N39:N50 N51:N53 N55:N65 N67:N77 N79:N89 N91:N101 N103:N113 N115:N125 N127:N137 N139:N149">
      <formula1>"王,娟,敏,蕾,佩,松"</formula1>
    </dataValidation>
    <dataValidation type="list" allowBlank="1" showInputMessage="1" showErrorMessage="1" sqref="F25 F37 F48 F65 F77 F89 F101 F113 F125 F137 F149 F51:F52">
      <formula1>"小猪,蚂蚁,BNB,途家,闲鱼"</formula1>
    </dataValidation>
    <dataValidation type="list" allowBlank="1" showInputMessage="1" sqref="F27 F53 F18:F19 F42:F47 F49:F50">
      <formula1>"小猪,蚂蚁,BNB,途家,闲鱼"</formula1>
    </dataValidation>
    <dataValidation type="list" allowBlank="1" showInputMessage="1" showErrorMessage="1" sqref="M27 G6:G10 G12:G13 G16:G19 G27:G35 G42:G50 G51:G53 M6:M12 M16:M22">
      <formula1>"王,娟,蕾,敏,佩,松"</formula1>
    </dataValidation>
    <dataValidation type="list" allowBlank="1" showInputMessage="1" sqref="F36 F6:F13 F15:F17 F20:F24 F39:F41 F55:F64 F67:F76 F79:F88 F91:F100 F103:F112 F115:F124 F127:F136 F139:F148">
      <formula1>"小猪,蚂蚁,BNB,途家,闲鱼,线下"</formula1>
    </dataValidation>
    <dataValidation type="list" allowBlank="1" showInputMessage="1" showErrorMessage="1" sqref="F28:F35">
      <formula1>"小猪,蚂蚁,BNB,途家,闲鱼,线下"</formula1>
    </dataValidation>
    <dataValidation type="list" allowBlank="1" showInputMessage="1" showErrorMessage="1" sqref="K6:K13 K15:K25 K27:K37 K39:K50 K51:K53 K55:K65 K67:K77 K79:K89 K91:K101 K103:K113 K115:K125 K127:K137 K139:K149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A1:W148"/>
  <sheetViews>
    <sheetView tabSelected="1" zoomScale="85" zoomScaleNormal="85" workbookViewId="0">
      <pane xSplit="1" ySplit="4" topLeftCell="B30" activePane="bottomRight" state="frozen"/>
      <selection/>
      <selection pane="topRight"/>
      <selection pane="bottomLeft"/>
      <selection pane="bottomRight" activeCell="B49" sqref="B49"/>
    </sheetView>
  </sheetViews>
  <sheetFormatPr defaultColWidth="9" defaultRowHeight="15"/>
  <cols>
    <col min="1" max="1" width="5.125" style="2" customWidth="1"/>
    <col min="2" max="2" width="8.625" style="2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3.625" customWidth="1"/>
    <col min="17" max="17" width="5.625"/>
    <col min="18" max="18" width="6.375"/>
    <col min="19" max="19" width="5.625"/>
    <col min="20" max="20" width="7.41666666666667" customWidth="1"/>
    <col min="21" max="21" width="5.625"/>
    <col min="22" max="22" width="8.375"/>
    <col min="23" max="23" width="5.625"/>
    <col min="26" max="26" width="9" hidden="1" customWidth="1"/>
  </cols>
  <sheetData>
    <row r="1" s="4" customFormat="1" ht="39" customHeight="1" spans="1:23">
      <c r="A1" s="6" t="s">
        <v>137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4</v>
      </c>
      <c r="E5" s="16">
        <f t="shared" si="0"/>
        <v>927.2</v>
      </c>
      <c r="F5" s="14"/>
      <c r="G5" s="17"/>
      <c r="H5" s="18">
        <f t="shared" si="0"/>
        <v>46.4</v>
      </c>
      <c r="J5" s="14"/>
      <c r="K5" s="14"/>
      <c r="L5" s="16">
        <f>SUM(L6:L16)</f>
        <v>1010</v>
      </c>
      <c r="M5" s="14"/>
      <c r="N5" s="14"/>
      <c r="O5" s="16">
        <f>E5-H5-L5</f>
        <v>-129.2</v>
      </c>
      <c r="Q5" s="48"/>
      <c r="R5" s="48">
        <f>SUM(R6:R11)</f>
        <v>46.4</v>
      </c>
      <c r="S5" s="48"/>
      <c r="T5" s="49">
        <f>SUM(T6:T11)</f>
        <v>1010</v>
      </c>
      <c r="U5" s="48"/>
      <c r="V5" s="48"/>
      <c r="W5" s="50"/>
    </row>
    <row r="6" spans="1:23">
      <c r="A6" s="19">
        <v>1</v>
      </c>
      <c r="B6" s="20">
        <v>43106</v>
      </c>
      <c r="C6" s="21" t="s">
        <v>138</v>
      </c>
      <c r="D6" s="22">
        <v>4</v>
      </c>
      <c r="E6" s="23">
        <v>927.2</v>
      </c>
      <c r="F6" s="26" t="s">
        <v>43</v>
      </c>
      <c r="G6" s="19" t="s">
        <v>32</v>
      </c>
      <c r="H6" s="25">
        <f>ROUND(E6*0.05,1)</f>
        <v>46.4</v>
      </c>
      <c r="J6" s="40">
        <v>43105</v>
      </c>
      <c r="K6" s="19" t="s">
        <v>26</v>
      </c>
      <c r="L6" s="23">
        <v>150</v>
      </c>
      <c r="M6" s="19" t="s">
        <v>27</v>
      </c>
      <c r="N6" s="41">
        <v>1.7</v>
      </c>
      <c r="O6" s="23"/>
      <c r="Q6" s="48" t="s">
        <v>27</v>
      </c>
      <c r="R6" s="48">
        <f>SUMIF(G6:G16,Q6,H6:H16)</f>
        <v>0</v>
      </c>
      <c r="S6" s="48" t="s">
        <v>26</v>
      </c>
      <c r="T6" s="48">
        <f>SUMIF(K6:K16,S6,L6:L16)</f>
        <v>150</v>
      </c>
      <c r="U6" s="48" t="s">
        <v>28</v>
      </c>
      <c r="V6" s="48">
        <f>O5</f>
        <v>-129.2</v>
      </c>
      <c r="W6" s="50"/>
    </row>
    <row r="7" spans="1:23">
      <c r="A7" s="19">
        <v>2</v>
      </c>
      <c r="B7" s="54"/>
      <c r="C7" s="55"/>
      <c r="D7" s="55"/>
      <c r="E7" s="55"/>
      <c r="F7" s="55"/>
      <c r="G7" s="56"/>
      <c r="H7" s="57"/>
      <c r="J7" s="20">
        <v>43118</v>
      </c>
      <c r="K7" s="19" t="s">
        <v>40</v>
      </c>
      <c r="L7" s="23">
        <v>498</v>
      </c>
      <c r="M7" s="19" t="s">
        <v>32</v>
      </c>
      <c r="N7" s="41" t="s">
        <v>139</v>
      </c>
      <c r="O7" s="23"/>
      <c r="Q7" s="48" t="s">
        <v>25</v>
      </c>
      <c r="R7" s="48">
        <f>SUMIF(G6:G16,Q7,H6:H16)</f>
        <v>0</v>
      </c>
      <c r="S7" s="48" t="s">
        <v>29</v>
      </c>
      <c r="T7" s="48">
        <f>SUMIF(K6:K16,S7,L6:L16)</f>
        <v>362</v>
      </c>
      <c r="U7" s="48" t="s">
        <v>115</v>
      </c>
      <c r="V7" s="49">
        <f>ROUND($V$6*W7,1)</f>
        <v>-129.2</v>
      </c>
      <c r="W7" s="51">
        <v>1</v>
      </c>
    </row>
    <row r="8" spans="1:23">
      <c r="A8" s="19">
        <v>3</v>
      </c>
      <c r="B8" s="20"/>
      <c r="C8" s="21"/>
      <c r="D8" s="22"/>
      <c r="E8" s="55"/>
      <c r="F8" s="53"/>
      <c r="G8" s="19"/>
      <c r="H8" s="25"/>
      <c r="J8" s="20">
        <v>43124</v>
      </c>
      <c r="K8" s="19" t="s">
        <v>29</v>
      </c>
      <c r="L8" s="23">
        <v>36</v>
      </c>
      <c r="M8" s="19" t="s">
        <v>32</v>
      </c>
      <c r="N8" s="41" t="s">
        <v>48</v>
      </c>
      <c r="O8" s="23"/>
      <c r="Q8" s="48" t="s">
        <v>32</v>
      </c>
      <c r="R8" s="48">
        <f>SUMIF(G6:G16,Q8,H6:H16)</f>
        <v>46.4</v>
      </c>
      <c r="S8" s="48" t="s">
        <v>33</v>
      </c>
      <c r="T8" s="48"/>
      <c r="U8" s="48"/>
      <c r="V8" s="52"/>
      <c r="W8" s="51"/>
    </row>
    <row r="9" spans="1:23">
      <c r="A9" s="19">
        <v>4</v>
      </c>
      <c r="B9" s="20"/>
      <c r="C9" s="21"/>
      <c r="D9" s="22"/>
      <c r="E9" s="23"/>
      <c r="F9" s="53"/>
      <c r="G9" s="19"/>
      <c r="H9" s="19"/>
      <c r="J9" s="20">
        <v>43136</v>
      </c>
      <c r="K9" s="19" t="s">
        <v>29</v>
      </c>
      <c r="L9" s="23">
        <v>326</v>
      </c>
      <c r="M9" s="19" t="s">
        <v>32</v>
      </c>
      <c r="N9" s="41" t="s">
        <v>140</v>
      </c>
      <c r="O9" s="23"/>
      <c r="Q9" s="48" t="s">
        <v>35</v>
      </c>
      <c r="R9" s="48"/>
      <c r="S9" s="48" t="s">
        <v>36</v>
      </c>
      <c r="T9" s="48"/>
      <c r="U9" s="48"/>
      <c r="V9" s="52"/>
      <c r="W9" s="51"/>
    </row>
    <row r="10" spans="1:23">
      <c r="A10" s="19">
        <v>5</v>
      </c>
      <c r="B10" s="20"/>
      <c r="C10" s="21"/>
      <c r="D10" s="22"/>
      <c r="E10" s="23"/>
      <c r="F10" s="53"/>
      <c r="G10" s="19"/>
      <c r="H10" s="25"/>
      <c r="J10" s="20"/>
      <c r="K10" s="19"/>
      <c r="L10" s="23"/>
      <c r="M10" s="20"/>
      <c r="N10" s="19"/>
      <c r="O10" s="23"/>
      <c r="Q10" s="48" t="s">
        <v>30</v>
      </c>
      <c r="R10" s="48"/>
      <c r="S10" s="48" t="s">
        <v>38</v>
      </c>
      <c r="T10" s="48"/>
      <c r="U10" s="48"/>
      <c r="V10" s="52"/>
      <c r="W10" s="51"/>
    </row>
    <row r="11" spans="1:23">
      <c r="A11" s="19">
        <v>6</v>
      </c>
      <c r="B11" s="20"/>
      <c r="C11" s="21"/>
      <c r="D11" s="22"/>
      <c r="E11" s="23"/>
      <c r="F11" s="24"/>
      <c r="G11" s="58"/>
      <c r="H11" s="58"/>
      <c r="J11" s="20"/>
      <c r="K11" s="19"/>
      <c r="L11" s="23"/>
      <c r="M11" s="20"/>
      <c r="N11" s="19"/>
      <c r="O11" s="23"/>
      <c r="Q11" s="48" t="s">
        <v>39</v>
      </c>
      <c r="R11" s="48"/>
      <c r="S11" s="48" t="s">
        <v>40</v>
      </c>
      <c r="T11" s="48">
        <f>SUMIF(K6:K16,S11,L6:L16)</f>
        <v>498</v>
      </c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19"/>
      <c r="J12" s="20"/>
      <c r="K12" s="19"/>
      <c r="L12" s="23"/>
      <c r="M12" s="20"/>
      <c r="N12" s="19"/>
      <c r="O12" s="23"/>
    </row>
    <row r="13" spans="1:15">
      <c r="A13" s="19">
        <v>8</v>
      </c>
      <c r="B13" s="20"/>
      <c r="C13" s="21"/>
      <c r="D13" s="22"/>
      <c r="E13" s="23"/>
      <c r="F13" s="24"/>
      <c r="G13" s="19"/>
      <c r="H13" s="19"/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2"/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19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19"/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13"/>
      <c r="C17" s="14"/>
      <c r="D17" s="15">
        <f t="shared" ref="D17:H17" si="1">SUM(D18:D28)</f>
        <v>13</v>
      </c>
      <c r="E17" s="16">
        <f t="shared" si="1"/>
        <v>8562</v>
      </c>
      <c r="F17" s="14"/>
      <c r="G17" s="14"/>
      <c r="H17" s="16">
        <f t="shared" si="1"/>
        <v>428.1</v>
      </c>
      <c r="J17" s="14"/>
      <c r="K17" s="14"/>
      <c r="L17" s="16">
        <f>SUM(L18:L28)</f>
        <v>8441</v>
      </c>
      <c r="M17" s="14"/>
      <c r="N17" s="14"/>
      <c r="O17" s="16">
        <f>E17-H17-L17</f>
        <v>-307.1</v>
      </c>
      <c r="Q17" s="48"/>
      <c r="R17" s="48">
        <f>SUM(R18:R23)</f>
        <v>428.1</v>
      </c>
      <c r="S17" s="48"/>
      <c r="T17" s="49">
        <f>SUM(T18:T23)</f>
        <v>8441</v>
      </c>
      <c r="U17" s="48"/>
      <c r="V17" s="48"/>
      <c r="W17" s="50"/>
    </row>
    <row r="18" spans="1:23">
      <c r="A18" s="19">
        <v>1</v>
      </c>
      <c r="B18" s="20"/>
      <c r="C18" s="21"/>
      <c r="D18" s="22"/>
      <c r="E18" s="55"/>
      <c r="F18" s="53"/>
      <c r="G18" s="19"/>
      <c r="H18" s="25"/>
      <c r="J18" s="40"/>
      <c r="K18" s="19"/>
      <c r="L18" s="23"/>
      <c r="M18" s="40"/>
      <c r="N18" s="19"/>
      <c r="O18" s="23"/>
      <c r="Q18" s="48" t="s">
        <v>27</v>
      </c>
      <c r="R18" s="48">
        <f>SUMIF(G18:G28,Q18,H18:H28)</f>
        <v>0</v>
      </c>
      <c r="S18" s="48" t="s">
        <v>26</v>
      </c>
      <c r="T18" s="48">
        <f>SUMIF(K18:K28,S18,L18:L28)</f>
        <v>825</v>
      </c>
      <c r="U18" s="48" t="s">
        <v>28</v>
      </c>
      <c r="V18" s="48">
        <f>O17</f>
        <v>-307.1</v>
      </c>
      <c r="W18" s="50"/>
    </row>
    <row r="19" spans="1:23">
      <c r="A19" s="19">
        <v>2</v>
      </c>
      <c r="B19" s="20">
        <v>43113</v>
      </c>
      <c r="C19" s="21" t="s">
        <v>141</v>
      </c>
      <c r="D19" s="22">
        <v>8</v>
      </c>
      <c r="E19" s="23">
        <v>5067.6</v>
      </c>
      <c r="F19" s="26" t="s">
        <v>43</v>
      </c>
      <c r="G19" s="19" t="s">
        <v>32</v>
      </c>
      <c r="H19" s="25">
        <f t="shared" ref="H19:H22" si="2">ROUND(E19*0.05,1)</f>
        <v>253.4</v>
      </c>
      <c r="J19" s="20">
        <v>43146</v>
      </c>
      <c r="K19" s="19" t="s">
        <v>29</v>
      </c>
      <c r="L19" s="23">
        <v>500</v>
      </c>
      <c r="M19" s="19" t="s">
        <v>32</v>
      </c>
      <c r="N19" s="41" t="s">
        <v>96</v>
      </c>
      <c r="O19" s="23"/>
      <c r="Q19" s="48" t="s">
        <v>25</v>
      </c>
      <c r="R19" s="48">
        <f>SUMIF(G18:G28,Q19,H18:H28)</f>
        <v>0</v>
      </c>
      <c r="S19" s="48" t="s">
        <v>29</v>
      </c>
      <c r="T19" s="48">
        <f>SUMIF(K18:K28,S19,L18:L28)</f>
        <v>4416</v>
      </c>
      <c r="U19" s="48" t="s">
        <v>115</v>
      </c>
      <c r="V19" s="49">
        <f>ROUND(V18*W19,1)</f>
        <v>-307.1</v>
      </c>
      <c r="W19" s="51">
        <v>1</v>
      </c>
    </row>
    <row r="20" spans="1:23">
      <c r="A20" s="19">
        <v>3</v>
      </c>
      <c r="B20" s="20">
        <v>43145</v>
      </c>
      <c r="C20" s="21" t="s">
        <v>142</v>
      </c>
      <c r="D20" s="22">
        <v>3</v>
      </c>
      <c r="E20" s="23">
        <v>2492.2</v>
      </c>
      <c r="F20" s="24" t="s">
        <v>43</v>
      </c>
      <c r="G20" s="19" t="s">
        <v>32</v>
      </c>
      <c r="H20" s="25">
        <f t="shared" si="2"/>
        <v>124.6</v>
      </c>
      <c r="J20" s="20">
        <v>43149</v>
      </c>
      <c r="K20" s="19" t="s">
        <v>26</v>
      </c>
      <c r="L20" s="23">
        <v>300</v>
      </c>
      <c r="M20" s="19" t="s">
        <v>25</v>
      </c>
      <c r="N20" s="19"/>
      <c r="O20" s="23"/>
      <c r="Q20" s="48" t="s">
        <v>32</v>
      </c>
      <c r="R20" s="48">
        <f>SUMIF(G18:G28,Q20,H18:H28)</f>
        <v>428.1</v>
      </c>
      <c r="S20" s="48" t="s">
        <v>33</v>
      </c>
      <c r="T20" s="48"/>
      <c r="U20" s="48"/>
      <c r="V20" s="52"/>
      <c r="W20" s="51"/>
    </row>
    <row r="21" spans="1:23">
      <c r="A21" s="19">
        <v>4</v>
      </c>
      <c r="B21" s="20">
        <v>43153</v>
      </c>
      <c r="C21" s="21">
        <v>2.22</v>
      </c>
      <c r="D21" s="22">
        <v>1</v>
      </c>
      <c r="E21" s="23">
        <v>502.2</v>
      </c>
      <c r="F21" s="24" t="s">
        <v>46</v>
      </c>
      <c r="G21" s="19" t="s">
        <v>32</v>
      </c>
      <c r="H21" s="25">
        <f t="shared" si="2"/>
        <v>25.1</v>
      </c>
      <c r="J21" s="20">
        <v>43152</v>
      </c>
      <c r="K21" s="19" t="s">
        <v>26</v>
      </c>
      <c r="L21" s="23">
        <v>300</v>
      </c>
      <c r="M21" s="19" t="s">
        <v>25</v>
      </c>
      <c r="N21" s="19"/>
      <c r="O21" s="23"/>
      <c r="Q21" s="48" t="s">
        <v>35</v>
      </c>
      <c r="R21" s="48"/>
      <c r="S21" s="48" t="s">
        <v>36</v>
      </c>
      <c r="T21" s="48"/>
      <c r="U21" s="48"/>
      <c r="V21" s="52"/>
      <c r="W21" s="51"/>
    </row>
    <row r="22" spans="1:23">
      <c r="A22" s="19">
        <v>5</v>
      </c>
      <c r="B22" s="20">
        <v>43154</v>
      </c>
      <c r="C22" s="21">
        <v>2.23</v>
      </c>
      <c r="D22" s="22">
        <v>1</v>
      </c>
      <c r="E22" s="23">
        <v>500</v>
      </c>
      <c r="F22" s="24" t="s">
        <v>37</v>
      </c>
      <c r="G22" s="19" t="s">
        <v>32</v>
      </c>
      <c r="H22" s="25">
        <f t="shared" si="2"/>
        <v>25</v>
      </c>
      <c r="J22" s="20">
        <v>43154</v>
      </c>
      <c r="K22" s="19" t="s">
        <v>26</v>
      </c>
      <c r="L22" s="23">
        <v>225</v>
      </c>
      <c r="M22" s="19" t="s">
        <v>27</v>
      </c>
      <c r="N22" s="41">
        <v>2.24</v>
      </c>
      <c r="O22" s="23"/>
      <c r="Q22" s="48" t="s">
        <v>30</v>
      </c>
      <c r="R22" s="48"/>
      <c r="S22" s="48" t="s">
        <v>38</v>
      </c>
      <c r="T22" s="48"/>
      <c r="U22" s="48"/>
      <c r="V22" s="52"/>
      <c r="W22" s="51"/>
    </row>
    <row r="23" spans="1:23">
      <c r="A23" s="19">
        <v>6</v>
      </c>
      <c r="B23" s="20"/>
      <c r="C23" s="21"/>
      <c r="D23" s="22"/>
      <c r="E23" s="23"/>
      <c r="F23" s="24"/>
      <c r="G23" s="19"/>
      <c r="H23" s="19"/>
      <c r="J23" s="20">
        <v>43155</v>
      </c>
      <c r="K23" s="19" t="s">
        <v>40</v>
      </c>
      <c r="L23" s="23">
        <v>900</v>
      </c>
      <c r="M23" s="19" t="s">
        <v>32</v>
      </c>
      <c r="N23" s="41" t="s">
        <v>143</v>
      </c>
      <c r="O23" s="23"/>
      <c r="Q23" s="48" t="s">
        <v>39</v>
      </c>
      <c r="R23" s="48"/>
      <c r="S23" s="48" t="s">
        <v>40</v>
      </c>
      <c r="T23" s="48">
        <f>SUMIF(K18:K28,S23,L18:L28)</f>
        <v>3200</v>
      </c>
      <c r="U23" s="48"/>
      <c r="V23" s="48"/>
      <c r="W23" s="50"/>
    </row>
    <row r="24" spans="1:15">
      <c r="A24" s="19">
        <v>7</v>
      </c>
      <c r="B24" s="20"/>
      <c r="C24" s="21"/>
      <c r="D24" s="22"/>
      <c r="E24" s="23"/>
      <c r="F24" s="24"/>
      <c r="G24" s="19"/>
      <c r="H24" s="19"/>
      <c r="J24" s="20">
        <v>43156</v>
      </c>
      <c r="K24" s="19" t="s">
        <v>29</v>
      </c>
      <c r="L24" s="23">
        <v>3916</v>
      </c>
      <c r="M24" s="19" t="s">
        <v>32</v>
      </c>
      <c r="N24" s="41" t="s">
        <v>144</v>
      </c>
      <c r="O24" s="23"/>
    </row>
    <row r="25" spans="1:15">
      <c r="A25" s="19">
        <v>8</v>
      </c>
      <c r="B25" s="20"/>
      <c r="C25" s="21"/>
      <c r="D25" s="22"/>
      <c r="E25" s="23"/>
      <c r="F25" s="24"/>
      <c r="G25" s="19"/>
      <c r="H25" s="19"/>
      <c r="J25" s="20">
        <v>43157</v>
      </c>
      <c r="K25" s="19" t="s">
        <v>40</v>
      </c>
      <c r="L25" s="23">
        <v>2300</v>
      </c>
      <c r="M25" s="19" t="s">
        <v>32</v>
      </c>
      <c r="N25" s="41" t="s">
        <v>145</v>
      </c>
      <c r="O25" s="23"/>
    </row>
    <row r="26" spans="1:15">
      <c r="A26" s="19">
        <v>9</v>
      </c>
      <c r="B26" s="20"/>
      <c r="C26" s="21"/>
      <c r="D26" s="22"/>
      <c r="E26" s="23"/>
      <c r="F26" s="24"/>
      <c r="G26" s="19"/>
      <c r="H26" s="25"/>
      <c r="J26" s="20"/>
      <c r="K26" s="19"/>
      <c r="L26" s="23"/>
      <c r="M26" s="20"/>
      <c r="N26" s="19"/>
      <c r="O26" s="23"/>
    </row>
    <row r="27" spans="1:15">
      <c r="A27" s="19">
        <v>10</v>
      </c>
      <c r="B27" s="20"/>
      <c r="C27" s="21"/>
      <c r="D27" s="22"/>
      <c r="E27" s="23"/>
      <c r="F27" s="24"/>
      <c r="G27" s="19"/>
      <c r="H27" s="19"/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1"/>
      <c r="D28" s="22"/>
      <c r="E28" s="23"/>
      <c r="F28" s="24"/>
      <c r="G28" s="19"/>
      <c r="H28" s="19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3">SUM(D30:D40)</f>
        <v>6</v>
      </c>
      <c r="E29" s="16">
        <f t="shared" si="3"/>
        <v>2523.4</v>
      </c>
      <c r="F29" s="14"/>
      <c r="G29" s="14"/>
      <c r="H29" s="16">
        <f t="shared" si="3"/>
        <v>134.1</v>
      </c>
      <c r="J29" s="14"/>
      <c r="K29" s="14"/>
      <c r="L29" s="16">
        <f>SUM(L30:L40)</f>
        <v>410</v>
      </c>
      <c r="M29" s="14"/>
      <c r="N29" s="14"/>
      <c r="O29" s="16">
        <f>E29-H29-L29</f>
        <v>1979.3</v>
      </c>
      <c r="Q29" s="48"/>
      <c r="R29" s="48">
        <f>SUM(R30:R35)</f>
        <v>134.1</v>
      </c>
      <c r="S29" s="48"/>
      <c r="T29" s="49">
        <f>SUM(T30:T35)</f>
        <v>410</v>
      </c>
      <c r="U29" s="48"/>
      <c r="V29" s="48"/>
      <c r="W29" s="50"/>
    </row>
    <row r="30" spans="1:23">
      <c r="A30" s="19">
        <v>1</v>
      </c>
      <c r="B30" s="20"/>
      <c r="C30" s="21"/>
      <c r="D30" s="22"/>
      <c r="E30" s="23"/>
      <c r="F30" s="24"/>
      <c r="G30" s="19"/>
      <c r="H30" s="19"/>
      <c r="J30" s="40">
        <v>43172</v>
      </c>
      <c r="K30" s="19" t="s">
        <v>26</v>
      </c>
      <c r="L30" s="23">
        <v>70</v>
      </c>
      <c r="M30" s="40" t="s">
        <v>25</v>
      </c>
      <c r="N30" s="19">
        <v>3.16</v>
      </c>
      <c r="O30" s="23"/>
      <c r="Q30" s="48" t="s">
        <v>27</v>
      </c>
      <c r="R30" s="48">
        <f>SUMIF(G30:G40,Q30,H30:H40)</f>
        <v>31</v>
      </c>
      <c r="S30" s="48" t="s">
        <v>26</v>
      </c>
      <c r="T30" s="48">
        <f>SUMIF(K30:K40,S30,L30:L40)</f>
        <v>370</v>
      </c>
      <c r="U30" s="48" t="s">
        <v>28</v>
      </c>
      <c r="V30" s="48">
        <f>O29</f>
        <v>1979.3</v>
      </c>
      <c r="W30" s="50"/>
    </row>
    <row r="31" spans="1:23">
      <c r="A31" s="19">
        <v>2</v>
      </c>
      <c r="B31" s="20">
        <v>43172</v>
      </c>
      <c r="C31" s="21" t="s">
        <v>146</v>
      </c>
      <c r="D31" s="22">
        <v>2</v>
      </c>
      <c r="E31" s="23">
        <v>522</v>
      </c>
      <c r="F31" s="24" t="s">
        <v>46</v>
      </c>
      <c r="G31" s="19" t="s">
        <v>25</v>
      </c>
      <c r="H31" s="25">
        <v>26.1</v>
      </c>
      <c r="J31" s="20">
        <v>43177</v>
      </c>
      <c r="K31" s="19" t="s">
        <v>26</v>
      </c>
      <c r="L31" s="23">
        <v>150</v>
      </c>
      <c r="M31" s="20" t="s">
        <v>27</v>
      </c>
      <c r="N31" s="19">
        <v>3.18</v>
      </c>
      <c r="O31" s="23"/>
      <c r="Q31" s="48" t="s">
        <v>25</v>
      </c>
      <c r="R31" s="48">
        <f>SUMIF(G30:G40,Q31,H30:H40)</f>
        <v>70.1</v>
      </c>
      <c r="S31" s="48" t="s">
        <v>29</v>
      </c>
      <c r="T31" s="48">
        <f>SUMIF(K30:K40,S31,L30:L40)</f>
        <v>40</v>
      </c>
      <c r="U31" s="48" t="s">
        <v>115</v>
      </c>
      <c r="V31" s="49">
        <f>ROUND(V30*W31,1)</f>
        <v>1583.4</v>
      </c>
      <c r="W31" s="51">
        <v>0.8</v>
      </c>
    </row>
    <row r="32" spans="1:23">
      <c r="A32" s="19">
        <v>3</v>
      </c>
      <c r="B32" s="20">
        <v>43174</v>
      </c>
      <c r="C32" s="21">
        <v>3.15</v>
      </c>
      <c r="D32" s="22">
        <v>1</v>
      </c>
      <c r="E32" s="23">
        <v>440</v>
      </c>
      <c r="F32" s="24" t="s">
        <v>37</v>
      </c>
      <c r="G32" s="19" t="s">
        <v>25</v>
      </c>
      <c r="H32" s="25">
        <v>22</v>
      </c>
      <c r="J32" s="20">
        <v>43178</v>
      </c>
      <c r="K32" s="19" t="s">
        <v>29</v>
      </c>
      <c r="L32" s="23">
        <v>40</v>
      </c>
      <c r="M32" s="20" t="s">
        <v>32</v>
      </c>
      <c r="N32" s="19" t="s">
        <v>48</v>
      </c>
      <c r="O32" s="23"/>
      <c r="Q32" s="48" t="s">
        <v>32</v>
      </c>
      <c r="R32" s="48">
        <f>SUMIF(G30:G40,Q32,H30:H40)</f>
        <v>33</v>
      </c>
      <c r="S32" s="48" t="s">
        <v>33</v>
      </c>
      <c r="T32" s="48"/>
      <c r="U32" s="48" t="s">
        <v>117</v>
      </c>
      <c r="V32" s="49">
        <f>ROUND(V30*W32,1)</f>
        <v>395.9</v>
      </c>
      <c r="W32" s="51">
        <v>0.2</v>
      </c>
    </row>
    <row r="33" spans="1:23">
      <c r="A33" s="19">
        <v>4</v>
      </c>
      <c r="B33" s="20">
        <v>43175</v>
      </c>
      <c r="C33" s="21">
        <v>3.16</v>
      </c>
      <c r="D33" s="22">
        <v>1</v>
      </c>
      <c r="E33" s="23">
        <v>440</v>
      </c>
      <c r="F33" s="24" t="s">
        <v>37</v>
      </c>
      <c r="G33" s="19" t="s">
        <v>25</v>
      </c>
      <c r="H33" s="25">
        <v>22</v>
      </c>
      <c r="J33" s="20">
        <v>43190</v>
      </c>
      <c r="K33" s="19" t="s">
        <v>26</v>
      </c>
      <c r="L33" s="23">
        <v>150</v>
      </c>
      <c r="M33" s="20" t="s">
        <v>27</v>
      </c>
      <c r="N33" s="19">
        <v>4.1</v>
      </c>
      <c r="O33" s="23"/>
      <c r="Q33" s="48" t="s">
        <v>35</v>
      </c>
      <c r="R33" s="48"/>
      <c r="S33" s="48" t="s">
        <v>36</v>
      </c>
      <c r="T33" s="48"/>
      <c r="U33" s="48"/>
      <c r="V33" s="52"/>
      <c r="W33" s="51"/>
    </row>
    <row r="34" spans="1:23">
      <c r="A34" s="19">
        <v>5</v>
      </c>
      <c r="B34" s="20">
        <v>43177</v>
      </c>
      <c r="C34" s="21">
        <v>3.17</v>
      </c>
      <c r="D34" s="22">
        <v>1</v>
      </c>
      <c r="E34" s="23">
        <v>619.2</v>
      </c>
      <c r="F34" s="24" t="s">
        <v>24</v>
      </c>
      <c r="G34" s="19" t="s">
        <v>27</v>
      </c>
      <c r="H34" s="25">
        <v>31</v>
      </c>
      <c r="J34" s="20"/>
      <c r="K34" s="19"/>
      <c r="L34" s="23"/>
      <c r="M34" s="20"/>
      <c r="N34" s="19"/>
      <c r="O34" s="23"/>
      <c r="Q34" s="48" t="s">
        <v>30</v>
      </c>
      <c r="R34" s="48"/>
      <c r="S34" s="48" t="s">
        <v>38</v>
      </c>
      <c r="T34" s="48"/>
      <c r="U34" s="48"/>
      <c r="V34" s="52"/>
      <c r="W34" s="51"/>
    </row>
    <row r="35" spans="1:23">
      <c r="A35" s="19">
        <v>6</v>
      </c>
      <c r="B35" s="20"/>
      <c r="C35" s="21"/>
      <c r="D35" s="22"/>
      <c r="E35" s="23"/>
      <c r="F35" s="24"/>
      <c r="G35" s="19"/>
      <c r="H35" s="25"/>
      <c r="J35" s="20"/>
      <c r="K35" s="19"/>
      <c r="L35" s="23"/>
      <c r="M35" s="20"/>
      <c r="N35" s="19"/>
      <c r="O35" s="23"/>
      <c r="Q35" s="48" t="s">
        <v>39</v>
      </c>
      <c r="R35" s="48"/>
      <c r="S35" s="48" t="s">
        <v>40</v>
      </c>
      <c r="T35" s="48">
        <f>SUMIF(K30:K40,S35,L30:L40)</f>
        <v>0</v>
      </c>
      <c r="U35" s="48"/>
      <c r="V35" s="48"/>
      <c r="W35" s="50"/>
    </row>
    <row r="36" spans="1:23">
      <c r="A36" s="19">
        <v>7</v>
      </c>
      <c r="B36" s="20">
        <v>43190</v>
      </c>
      <c r="C36" s="21">
        <v>3.31</v>
      </c>
      <c r="D36" s="22">
        <v>1</v>
      </c>
      <c r="E36" s="23">
        <v>502.2</v>
      </c>
      <c r="F36" s="24" t="s">
        <v>46</v>
      </c>
      <c r="G36" s="19" t="s">
        <v>32</v>
      </c>
      <c r="H36" s="25">
        <v>33</v>
      </c>
      <c r="J36" s="20"/>
      <c r="K36" s="19"/>
      <c r="L36" s="23"/>
      <c r="M36" s="20"/>
      <c r="N36" s="19"/>
      <c r="O36" s="23"/>
      <c r="Q36" s="48"/>
      <c r="R36" s="48"/>
      <c r="S36" s="48"/>
      <c r="T36" s="48"/>
      <c r="U36" s="48"/>
      <c r="V36" s="48"/>
      <c r="W36" s="50"/>
    </row>
    <row r="37" spans="1:15">
      <c r="A37" s="19">
        <v>8</v>
      </c>
      <c r="B37" s="20"/>
      <c r="C37" s="21"/>
      <c r="D37" s="22"/>
      <c r="E37" s="23"/>
      <c r="F37" s="24"/>
      <c r="G37" s="19"/>
      <c r="H37" s="19"/>
      <c r="J37" s="20"/>
      <c r="K37" s="19"/>
      <c r="L37" s="23"/>
      <c r="M37" s="20"/>
      <c r="N37" s="19"/>
      <c r="O37" s="23"/>
    </row>
    <row r="38" spans="1:15">
      <c r="A38" s="19">
        <v>9</v>
      </c>
      <c r="B38" s="20"/>
      <c r="C38" s="21"/>
      <c r="D38" s="22"/>
      <c r="E38" s="23"/>
      <c r="F38" s="24"/>
      <c r="G38" s="19"/>
      <c r="H38" s="19"/>
      <c r="J38" s="20"/>
      <c r="K38" s="19"/>
      <c r="L38" s="23"/>
      <c r="M38" s="20"/>
      <c r="N38" s="19"/>
      <c r="O38" s="23"/>
    </row>
    <row r="39" spans="1:15">
      <c r="A39" s="19">
        <v>10</v>
      </c>
      <c r="B39" s="20"/>
      <c r="C39" s="21"/>
      <c r="D39" s="22"/>
      <c r="E39" s="23"/>
      <c r="F39" s="24"/>
      <c r="G39" s="19"/>
      <c r="H39" s="19"/>
      <c r="J39" s="20"/>
      <c r="K39" s="19"/>
      <c r="L39" s="23"/>
      <c r="M39" s="20"/>
      <c r="N39" s="19"/>
      <c r="O39" s="23"/>
    </row>
    <row r="40" spans="1:15">
      <c r="A40" s="19">
        <v>11</v>
      </c>
      <c r="B40" s="20"/>
      <c r="C40" s="21"/>
      <c r="D40" s="22"/>
      <c r="E40" s="23"/>
      <c r="F40" s="24"/>
      <c r="G40" s="19"/>
      <c r="H40" s="19"/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13"/>
      <c r="C41" s="14"/>
      <c r="D41" s="15">
        <f t="shared" ref="D41:H41" si="4">SUM(D42:D52)</f>
        <v>8</v>
      </c>
      <c r="E41" s="16">
        <f t="shared" si="4"/>
        <v>4296.6</v>
      </c>
      <c r="F41" s="14"/>
      <c r="G41" s="14"/>
      <c r="H41" s="16">
        <f t="shared" si="4"/>
        <v>214.8</v>
      </c>
      <c r="J41" s="14"/>
      <c r="K41" s="14"/>
      <c r="L41" s="16">
        <f>SUM(L42:L52)</f>
        <v>0</v>
      </c>
      <c r="M41" s="14"/>
      <c r="N41" s="14"/>
      <c r="O41" s="16"/>
    </row>
    <row r="42" spans="1:15">
      <c r="A42" s="19">
        <v>1</v>
      </c>
      <c r="B42" s="20"/>
      <c r="C42" s="21"/>
      <c r="D42" s="22"/>
      <c r="E42" s="23"/>
      <c r="F42" s="24"/>
      <c r="G42" s="19"/>
      <c r="H42" s="19"/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43186</v>
      </c>
      <c r="C43" s="21" t="s">
        <v>72</v>
      </c>
      <c r="D43" s="22">
        <v>2</v>
      </c>
      <c r="E43" s="23">
        <v>1040.4</v>
      </c>
      <c r="F43" s="24" t="s">
        <v>57</v>
      </c>
      <c r="G43" s="19" t="s">
        <v>27</v>
      </c>
      <c r="H43" s="25">
        <f t="shared" ref="H43:H48" si="5">ROUND(E43*0.05,1)</f>
        <v>52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/>
      <c r="C44" s="21"/>
      <c r="D44" s="22"/>
      <c r="E44" s="23"/>
      <c r="F44" s="24"/>
      <c r="G44" s="19"/>
      <c r="H44" s="19"/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43192</v>
      </c>
      <c r="C45" s="21">
        <v>4.14</v>
      </c>
      <c r="D45" s="22">
        <v>1</v>
      </c>
      <c r="E45" s="23">
        <v>502.2</v>
      </c>
      <c r="F45" s="24" t="s">
        <v>46</v>
      </c>
      <c r="G45" s="19" t="s">
        <v>25</v>
      </c>
      <c r="H45" s="25">
        <f t="shared" si="5"/>
        <v>25.1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43207</v>
      </c>
      <c r="C46" s="21">
        <v>4.21</v>
      </c>
      <c r="D46" s="22">
        <v>1</v>
      </c>
      <c r="E46" s="23">
        <v>502.2</v>
      </c>
      <c r="F46" s="24" t="s">
        <v>46</v>
      </c>
      <c r="G46" s="19" t="s">
        <v>25</v>
      </c>
      <c r="H46" s="25">
        <f t="shared" si="5"/>
        <v>25.1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43209</v>
      </c>
      <c r="C47" s="34">
        <v>4.2</v>
      </c>
      <c r="D47" s="22">
        <v>1</v>
      </c>
      <c r="E47" s="23">
        <v>502.2</v>
      </c>
      <c r="F47" s="24" t="s">
        <v>46</v>
      </c>
      <c r="G47" s="19" t="s">
        <v>25</v>
      </c>
      <c r="H47" s="25">
        <f t="shared" si="5"/>
        <v>25.1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43217</v>
      </c>
      <c r="C48" s="21">
        <v>4.28</v>
      </c>
      <c r="D48" s="22">
        <v>1</v>
      </c>
      <c r="E48" s="23">
        <v>511.2</v>
      </c>
      <c r="F48" s="24" t="s">
        <v>24</v>
      </c>
      <c r="G48" s="19" t="s">
        <v>27</v>
      </c>
      <c r="H48" s="25">
        <f t="shared" si="5"/>
        <v>25.6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/>
      <c r="C49" s="21"/>
      <c r="D49" s="22"/>
      <c r="E49" s="23"/>
      <c r="F49" s="24"/>
      <c r="G49" s="19"/>
      <c r="H49" s="19"/>
      <c r="J49" s="20"/>
      <c r="K49" s="19"/>
      <c r="L49" s="23"/>
      <c r="M49" s="20"/>
      <c r="N49" s="19"/>
      <c r="O49" s="23"/>
    </row>
    <row r="50" spans="1:15">
      <c r="A50" s="19">
        <v>9</v>
      </c>
      <c r="B50" s="20">
        <v>43215</v>
      </c>
      <c r="C50" s="21" t="s">
        <v>74</v>
      </c>
      <c r="D50" s="22">
        <v>2</v>
      </c>
      <c r="E50" s="23">
        <v>1238.4</v>
      </c>
      <c r="F50" s="32" t="s">
        <v>46</v>
      </c>
      <c r="G50" s="19" t="s">
        <v>25</v>
      </c>
      <c r="H50" s="25">
        <f>ROUND(E50*0.05,1)</f>
        <v>61.9</v>
      </c>
      <c r="J50" s="20"/>
      <c r="K50" s="19"/>
      <c r="L50" s="23"/>
      <c r="M50" s="20"/>
      <c r="N50" s="19"/>
      <c r="O50" s="23"/>
    </row>
    <row r="51" spans="1:15">
      <c r="A51" s="19">
        <v>10</v>
      </c>
      <c r="B51" s="20"/>
      <c r="C51" s="21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11</v>
      </c>
      <c r="B52" s="20"/>
      <c r="C52" s="21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ht="30" customHeight="1" spans="1:15">
      <c r="A53" s="12" t="s">
        <v>76</v>
      </c>
      <c r="B53" s="13"/>
      <c r="C53" s="14"/>
      <c r="D53" s="15">
        <f t="shared" ref="D53:H53" si="6">SUM(D54:D64)</f>
        <v>0</v>
      </c>
      <c r="E53" s="16">
        <f t="shared" si="6"/>
        <v>0</v>
      </c>
      <c r="F53" s="14"/>
      <c r="G53" s="14"/>
      <c r="H53" s="16">
        <f t="shared" si="6"/>
        <v>0</v>
      </c>
      <c r="J53" s="14"/>
      <c r="K53" s="14"/>
      <c r="L53" s="16">
        <f>SUM(L54:L64)</f>
        <v>0</v>
      </c>
      <c r="M53" s="14"/>
      <c r="N53" s="14"/>
      <c r="O53" s="16"/>
    </row>
    <row r="54" spans="1:15">
      <c r="A54" s="19">
        <v>1</v>
      </c>
      <c r="B54" s="20"/>
      <c r="C54" s="21"/>
      <c r="D54" s="22"/>
      <c r="E54" s="23"/>
      <c r="F54" s="24"/>
      <c r="G54" s="19"/>
      <c r="H54" s="19"/>
      <c r="J54" s="40"/>
      <c r="K54" s="19"/>
      <c r="L54" s="23"/>
      <c r="M54" s="40"/>
      <c r="N54" s="19"/>
      <c r="O54" s="23"/>
    </row>
    <row r="55" spans="1:15">
      <c r="A55" s="19">
        <v>2</v>
      </c>
      <c r="B55" s="20"/>
      <c r="C55" s="21"/>
      <c r="D55" s="22"/>
      <c r="E55" s="23"/>
      <c r="F55" s="19"/>
      <c r="G55" s="19"/>
      <c r="H55" s="19"/>
      <c r="J55" s="20"/>
      <c r="K55" s="19"/>
      <c r="L55" s="23"/>
      <c r="M55" s="20"/>
      <c r="N55" s="19"/>
      <c r="O55" s="23"/>
    </row>
    <row r="56" spans="1:15">
      <c r="A56" s="19">
        <v>3</v>
      </c>
      <c r="B56" s="20"/>
      <c r="C56" s="21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4</v>
      </c>
      <c r="B57" s="20"/>
      <c r="C57" s="21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5</v>
      </c>
      <c r="B58" s="20"/>
      <c r="C58" s="21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6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7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8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9</v>
      </c>
      <c r="B62" s="20"/>
      <c r="C62" s="21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10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11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ht="30" customHeight="1" spans="1:15">
      <c r="A65" s="12" t="s">
        <v>80</v>
      </c>
      <c r="B65" s="13"/>
      <c r="C65" s="14"/>
      <c r="D65" s="15">
        <f t="shared" ref="D65:H65" si="7">SUM(D66:D76)</f>
        <v>0</v>
      </c>
      <c r="E65" s="16">
        <f t="shared" si="7"/>
        <v>0</v>
      </c>
      <c r="F65" s="14"/>
      <c r="G65" s="14"/>
      <c r="H65" s="16">
        <f t="shared" si="7"/>
        <v>0</v>
      </c>
      <c r="J65" s="14"/>
      <c r="K65" s="14"/>
      <c r="L65" s="16">
        <f>SUM(L66:L76)</f>
        <v>0</v>
      </c>
      <c r="M65" s="14"/>
      <c r="N65" s="14"/>
      <c r="O65" s="16"/>
    </row>
    <row r="66" spans="1:15">
      <c r="A66" s="19">
        <v>1</v>
      </c>
      <c r="B66" s="20"/>
      <c r="C66" s="21"/>
      <c r="D66" s="22"/>
      <c r="E66" s="23"/>
      <c r="F66" s="24"/>
      <c r="G66" s="19"/>
      <c r="H66" s="19"/>
      <c r="J66" s="40"/>
      <c r="K66" s="19"/>
      <c r="L66" s="23"/>
      <c r="M66" s="40"/>
      <c r="N66" s="19"/>
      <c r="O66" s="23"/>
    </row>
    <row r="67" spans="1:15">
      <c r="A67" s="19">
        <v>2</v>
      </c>
      <c r="B67" s="20"/>
      <c r="C67" s="21"/>
      <c r="D67" s="22"/>
      <c r="E67" s="23"/>
      <c r="F67" s="19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3</v>
      </c>
      <c r="B68" s="20"/>
      <c r="C68" s="21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4</v>
      </c>
      <c r="B69" s="20"/>
      <c r="C69" s="21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5</v>
      </c>
      <c r="B70" s="20"/>
      <c r="C70" s="21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6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7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8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9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10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11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ht="30" customHeight="1" spans="1:15">
      <c r="A77" s="12" t="s">
        <v>82</v>
      </c>
      <c r="B77" s="13"/>
      <c r="C77" s="14"/>
      <c r="D77" s="15">
        <f t="shared" ref="D77:H77" si="8">SUM(D78:D88)</f>
        <v>0</v>
      </c>
      <c r="E77" s="16">
        <f t="shared" si="8"/>
        <v>0</v>
      </c>
      <c r="F77" s="14"/>
      <c r="G77" s="14"/>
      <c r="H77" s="16">
        <f t="shared" si="8"/>
        <v>0</v>
      </c>
      <c r="J77" s="14"/>
      <c r="K77" s="14"/>
      <c r="L77" s="16">
        <f>SUM(L78:L88)</f>
        <v>0</v>
      </c>
      <c r="M77" s="14"/>
      <c r="N77" s="14"/>
      <c r="O77" s="16"/>
    </row>
    <row r="78" spans="1:15">
      <c r="A78" s="19">
        <v>1</v>
      </c>
      <c r="B78" s="20"/>
      <c r="C78" s="21"/>
      <c r="D78" s="22"/>
      <c r="E78" s="23"/>
      <c r="F78" s="24"/>
      <c r="G78" s="19"/>
      <c r="H78" s="19"/>
      <c r="J78" s="40"/>
      <c r="K78" s="19"/>
      <c r="L78" s="23"/>
      <c r="M78" s="40"/>
      <c r="N78" s="19"/>
      <c r="O78" s="23"/>
    </row>
    <row r="79" spans="1:15">
      <c r="A79" s="19">
        <v>2</v>
      </c>
      <c r="B79" s="20"/>
      <c r="C79" s="21"/>
      <c r="D79" s="22"/>
      <c r="E79" s="23"/>
      <c r="F79" s="19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3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4</v>
      </c>
      <c r="B81" s="20"/>
      <c r="C81" s="21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5</v>
      </c>
      <c r="B82" s="20"/>
      <c r="C82" s="21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6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7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8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9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10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11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ht="30" customHeight="1" spans="1:15">
      <c r="A89" s="12" t="s">
        <v>83</v>
      </c>
      <c r="B89" s="13"/>
      <c r="C89" s="14"/>
      <c r="D89" s="15">
        <f t="shared" ref="D89:H89" si="9">SUM(D90:D100)</f>
        <v>0</v>
      </c>
      <c r="E89" s="16">
        <f t="shared" si="9"/>
        <v>0</v>
      </c>
      <c r="F89" s="14"/>
      <c r="G89" s="14"/>
      <c r="H89" s="16">
        <f t="shared" si="9"/>
        <v>0</v>
      </c>
      <c r="J89" s="14"/>
      <c r="K89" s="14"/>
      <c r="L89" s="16">
        <f>SUM(L90:L100)</f>
        <v>0</v>
      </c>
      <c r="M89" s="14"/>
      <c r="N89" s="14"/>
      <c r="O89" s="16"/>
    </row>
    <row r="90" spans="1:15">
      <c r="A90" s="19">
        <v>1</v>
      </c>
      <c r="B90" s="20"/>
      <c r="C90" s="21"/>
      <c r="D90" s="22"/>
      <c r="E90" s="23"/>
      <c r="F90" s="24"/>
      <c r="G90" s="19"/>
      <c r="H90" s="19"/>
      <c r="J90" s="40"/>
      <c r="K90" s="19"/>
      <c r="L90" s="23"/>
      <c r="M90" s="40"/>
      <c r="N90" s="19"/>
      <c r="O90" s="23"/>
    </row>
    <row r="91" spans="1:15">
      <c r="A91" s="19">
        <v>2</v>
      </c>
      <c r="B91" s="20"/>
      <c r="C91" s="21"/>
      <c r="D91" s="22"/>
      <c r="E91" s="23"/>
      <c r="F91" s="19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3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4</v>
      </c>
      <c r="B93" s="20"/>
      <c r="C93" s="21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5</v>
      </c>
      <c r="B94" s="20"/>
      <c r="C94" s="21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6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7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8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9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10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11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ht="30" customHeight="1" spans="1:15">
      <c r="A101" s="12" t="s">
        <v>84</v>
      </c>
      <c r="B101" s="13"/>
      <c r="C101" s="14"/>
      <c r="D101" s="15">
        <f t="shared" ref="D101:H101" si="10">SUM(D102:D112)</f>
        <v>0</v>
      </c>
      <c r="E101" s="16">
        <f t="shared" si="10"/>
        <v>0</v>
      </c>
      <c r="F101" s="14"/>
      <c r="G101" s="14"/>
      <c r="H101" s="16">
        <f t="shared" si="10"/>
        <v>0</v>
      </c>
      <c r="J101" s="14"/>
      <c r="K101" s="14"/>
      <c r="L101" s="16">
        <f>SUM(L102:L112)</f>
        <v>0</v>
      </c>
      <c r="M101" s="14"/>
      <c r="N101" s="14"/>
      <c r="O101" s="16"/>
    </row>
    <row r="102" spans="1:15">
      <c r="A102" s="19">
        <v>1</v>
      </c>
      <c r="B102" s="20"/>
      <c r="C102" s="21"/>
      <c r="D102" s="22"/>
      <c r="E102" s="23"/>
      <c r="F102" s="24"/>
      <c r="G102" s="19"/>
      <c r="H102" s="19"/>
      <c r="J102" s="40"/>
      <c r="K102" s="19"/>
      <c r="L102" s="23"/>
      <c r="M102" s="40"/>
      <c r="N102" s="19"/>
      <c r="O102" s="23"/>
    </row>
    <row r="103" spans="1:15">
      <c r="A103" s="19">
        <v>2</v>
      </c>
      <c r="B103" s="20"/>
      <c r="C103" s="21"/>
      <c r="D103" s="22"/>
      <c r="E103" s="23"/>
      <c r="F103" s="19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3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4</v>
      </c>
      <c r="B105" s="20"/>
      <c r="C105" s="21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5</v>
      </c>
      <c r="B106" s="20"/>
      <c r="C106" s="21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6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7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8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9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10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11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ht="30" customHeight="1" spans="1:15">
      <c r="A113" s="12" t="s">
        <v>85</v>
      </c>
      <c r="B113" s="13"/>
      <c r="C113" s="14"/>
      <c r="D113" s="15">
        <f t="shared" ref="D113:H113" si="11">SUM(D114:D124)</f>
        <v>0</v>
      </c>
      <c r="E113" s="16">
        <f t="shared" si="11"/>
        <v>0</v>
      </c>
      <c r="F113" s="14"/>
      <c r="G113" s="14"/>
      <c r="H113" s="16">
        <f t="shared" si="11"/>
        <v>0</v>
      </c>
      <c r="J113" s="14"/>
      <c r="K113" s="14"/>
      <c r="L113" s="16">
        <f>SUM(L114:L124)</f>
        <v>0</v>
      </c>
      <c r="M113" s="14"/>
      <c r="N113" s="14"/>
      <c r="O113" s="16"/>
    </row>
    <row r="114" spans="1:15">
      <c r="A114" s="19">
        <v>1</v>
      </c>
      <c r="B114" s="20"/>
      <c r="C114" s="21"/>
      <c r="D114" s="22"/>
      <c r="E114" s="23"/>
      <c r="F114" s="24"/>
      <c r="G114" s="19"/>
      <c r="H114" s="19"/>
      <c r="J114" s="40"/>
      <c r="K114" s="19"/>
      <c r="L114" s="23"/>
      <c r="M114" s="40"/>
      <c r="N114" s="19"/>
      <c r="O114" s="23"/>
    </row>
    <row r="115" spans="1:15">
      <c r="A115" s="19">
        <v>2</v>
      </c>
      <c r="B115" s="20"/>
      <c r="C115" s="21"/>
      <c r="D115" s="22"/>
      <c r="E115" s="23"/>
      <c r="F115" s="19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3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4</v>
      </c>
      <c r="B117" s="20"/>
      <c r="C117" s="21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5</v>
      </c>
      <c r="B118" s="20"/>
      <c r="C118" s="21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6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7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8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9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10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11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ht="30" customHeight="1" spans="1:15">
      <c r="A125" s="12" t="s">
        <v>86</v>
      </c>
      <c r="B125" s="13"/>
      <c r="C125" s="14"/>
      <c r="D125" s="15">
        <f t="shared" ref="D125:H125" si="12">SUM(D126:D136)</f>
        <v>0</v>
      </c>
      <c r="E125" s="16">
        <f t="shared" si="12"/>
        <v>0</v>
      </c>
      <c r="F125" s="14"/>
      <c r="G125" s="14"/>
      <c r="H125" s="16">
        <f t="shared" si="12"/>
        <v>0</v>
      </c>
      <c r="J125" s="14"/>
      <c r="K125" s="14"/>
      <c r="L125" s="16">
        <f>SUM(L126:L136)</f>
        <v>0</v>
      </c>
      <c r="M125" s="14"/>
      <c r="N125" s="14"/>
      <c r="O125" s="16"/>
    </row>
    <row r="126" spans="1:15">
      <c r="A126" s="19">
        <v>1</v>
      </c>
      <c r="B126" s="20"/>
      <c r="C126" s="21"/>
      <c r="D126" s="22"/>
      <c r="E126" s="23"/>
      <c r="F126" s="24"/>
      <c r="G126" s="19"/>
      <c r="H126" s="19"/>
      <c r="J126" s="40"/>
      <c r="K126" s="19"/>
      <c r="L126" s="23"/>
      <c r="M126" s="40"/>
      <c r="N126" s="19"/>
      <c r="O126" s="23"/>
    </row>
    <row r="127" spans="1:15">
      <c r="A127" s="19">
        <v>2</v>
      </c>
      <c r="B127" s="20"/>
      <c r="C127" s="21"/>
      <c r="D127" s="22"/>
      <c r="E127" s="23"/>
      <c r="F127" s="19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3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4</v>
      </c>
      <c r="B129" s="20"/>
      <c r="C129" s="21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5</v>
      </c>
      <c r="B130" s="20"/>
      <c r="C130" s="21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6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7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8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9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10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11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ht="30" customHeight="1" spans="1:15">
      <c r="A137" s="12" t="s">
        <v>87</v>
      </c>
      <c r="B137" s="13"/>
      <c r="C137" s="14"/>
      <c r="D137" s="15">
        <f t="shared" ref="D137:H137" si="13">SUM(D138:D148)</f>
        <v>0</v>
      </c>
      <c r="E137" s="16">
        <f t="shared" si="13"/>
        <v>0</v>
      </c>
      <c r="F137" s="14"/>
      <c r="G137" s="14"/>
      <c r="H137" s="16">
        <f t="shared" si="13"/>
        <v>0</v>
      </c>
      <c r="J137" s="14"/>
      <c r="K137" s="14"/>
      <c r="L137" s="16">
        <f>SUM(L138:L148)</f>
        <v>0</v>
      </c>
      <c r="M137" s="14"/>
      <c r="N137" s="14"/>
      <c r="O137" s="16"/>
    </row>
    <row r="138" spans="1:15">
      <c r="A138" s="19">
        <v>1</v>
      </c>
      <c r="B138" s="20"/>
      <c r="C138" s="21"/>
      <c r="D138" s="22"/>
      <c r="E138" s="23"/>
      <c r="F138" s="24"/>
      <c r="G138" s="19"/>
      <c r="H138" s="19"/>
      <c r="J138" s="40"/>
      <c r="K138" s="19"/>
      <c r="L138" s="23"/>
      <c r="M138" s="40"/>
      <c r="N138" s="19"/>
      <c r="O138" s="23"/>
    </row>
    <row r="139" spans="1:15">
      <c r="A139" s="19">
        <v>2</v>
      </c>
      <c r="B139" s="20"/>
      <c r="C139" s="21"/>
      <c r="D139" s="22"/>
      <c r="E139" s="23"/>
      <c r="F139" s="19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3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4</v>
      </c>
      <c r="B141" s="20"/>
      <c r="C141" s="21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5</v>
      </c>
      <c r="B142" s="20"/>
      <c r="C142" s="21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6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7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8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9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10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11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6 G50 G19:G22 G31:G34 G45:G48 M6:M9 M19:M25">
      <formula1>"王,娟,蕾,敏,佩,松"</formula1>
    </dataValidation>
    <dataValidation type="list" allowBlank="1" showInputMessage="1" showErrorMessage="1" sqref="N7 G18 N18 G30 G49 G7:G16 G23:G28 G35:G40 G42:G44 G51:G52 G54:G64 G66:G76 G78:G88 G90:G100 G102:G112 G114:G124 G126:G136 G138:G148 N10:N16 N20:N21 N26:N28 N30:N40 N42:N52 N54:N64 N66:N76 N78:N88 N90:N100 N102:N112 N114:N124 N126:N136 N138:N148">
      <formula1>"王,娟,敏,蕾,佩,松"</formula1>
    </dataValidation>
    <dataValidation type="list" allowBlank="1" showInputMessage="1" showErrorMessage="1" sqref="F16 F28 F40 F52 F64 F76 F88 F100 F112 F124 F136 F148">
      <formula1>"小猪,蚂蚁,BNB,途家,闲鱼"</formula1>
    </dataValidation>
    <dataValidation type="list" allowBlank="1" showInputMessage="1" sqref="F30 F49 F51 F6:F15 F18:F19 F23:F27 F35:F39 F42:F44 F54:F63 F66:F75 F78:F87 F90:F99 F102:F111 F114:F123 F126:F135 F138:F147">
      <formula1>"小猪,蚂蚁,BNB,途家,闲鱼,线下"</formula1>
    </dataValidation>
    <dataValidation type="list" allowBlank="1" showInputMessage="1" sqref="F50 F20:F22 F45:F48">
      <formula1>"小猪,蚂蚁,BNB,途家,闲鱼"</formula1>
    </dataValidation>
    <dataValidation type="list" allowBlank="1" showInputMessage="1" showErrorMessage="1" sqref="F31:F34">
      <formula1>"小猪,蚂蚁,BNB,途家,闲鱼,线下"</formula1>
    </dataValidation>
    <dataValidation type="list" allowBlank="1" showInputMessage="1" showErrorMessage="1" sqref="K6:K16 K18:K28 K30:K40 K42:K52 K54:K64 K66:K76 K78:K88 K90:K100 K102:K112 K114:K124 K126:K136 K138:K148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A1:W148"/>
  <sheetViews>
    <sheetView zoomScale="85" zoomScaleNormal="85" workbookViewId="0">
      <pane xSplit="1" ySplit="4" topLeftCell="B35" activePane="bottomRight" state="frozen"/>
      <selection/>
      <selection pane="topRight"/>
      <selection pane="bottomLeft"/>
      <selection pane="bottomRight" activeCell="B49" sqref="B49"/>
    </sheetView>
  </sheetViews>
  <sheetFormatPr defaultColWidth="9" defaultRowHeight="15"/>
  <cols>
    <col min="1" max="1" width="6" style="2" customWidth="1"/>
    <col min="2" max="2" width="10" style="2" customWidth="1"/>
    <col min="3" max="3" width="9" style="5" customWidth="1"/>
    <col min="4" max="5" width="9" style="2" customWidth="1"/>
    <col min="6" max="6" width="6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3.25" customWidth="1"/>
    <col min="17" max="17" width="5.625"/>
    <col min="18" max="18" width="12.625"/>
    <col min="19" max="19" width="5.625"/>
    <col min="20" max="20" width="7.41666666666667" customWidth="1"/>
    <col min="21" max="21" width="5.625"/>
    <col min="22" max="22" width="8.375"/>
    <col min="23" max="23" width="5.625"/>
  </cols>
  <sheetData>
    <row r="1" s="4" customFormat="1" ht="39" customHeight="1" spans="1:23">
      <c r="A1" s="6" t="s">
        <v>147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3</v>
      </c>
      <c r="E5" s="16">
        <f t="shared" si="0"/>
        <v>489.2</v>
      </c>
      <c r="F5" s="14"/>
      <c r="G5" s="17"/>
      <c r="H5" s="18">
        <f t="shared" si="0"/>
        <v>24.5</v>
      </c>
      <c r="J5" s="14"/>
      <c r="K5" s="14"/>
      <c r="L5" s="16">
        <f>SUM(L6:L16)</f>
        <v>801</v>
      </c>
      <c r="M5" s="14"/>
      <c r="N5" s="14"/>
      <c r="O5" s="16">
        <f>E5-H5-L5</f>
        <v>-336.3</v>
      </c>
      <c r="Q5" s="48"/>
      <c r="R5" s="48">
        <f>SUM(R6:R11)</f>
        <v>24.5</v>
      </c>
      <c r="S5" s="48"/>
      <c r="T5" s="49">
        <f>SUM(T6:T11)</f>
        <v>801</v>
      </c>
      <c r="U5" s="48"/>
      <c r="V5" s="48"/>
      <c r="W5" s="50"/>
    </row>
    <row r="6" spans="1:23">
      <c r="A6" s="19">
        <v>1</v>
      </c>
      <c r="B6" s="20">
        <v>43116</v>
      </c>
      <c r="C6" s="21">
        <v>1.16</v>
      </c>
      <c r="D6" s="22">
        <v>1</v>
      </c>
      <c r="E6" s="23">
        <v>160</v>
      </c>
      <c r="F6" s="24" t="s">
        <v>37</v>
      </c>
      <c r="G6" s="19" t="s">
        <v>30</v>
      </c>
      <c r="H6" s="25">
        <f t="shared" ref="H6:H8" si="1">ROUND(E6*0.05,1)</f>
        <v>8</v>
      </c>
      <c r="J6" s="40">
        <v>43110</v>
      </c>
      <c r="K6" s="19" t="s">
        <v>29</v>
      </c>
      <c r="L6" s="23">
        <v>480</v>
      </c>
      <c r="M6" s="19" t="s">
        <v>32</v>
      </c>
      <c r="N6" s="41" t="s">
        <v>148</v>
      </c>
      <c r="O6" s="23"/>
      <c r="Q6" s="48" t="s">
        <v>27</v>
      </c>
      <c r="R6" s="48">
        <f>SUMIF($G$6:$G$16,Q6,$H$6:$H$16)</f>
        <v>16.5</v>
      </c>
      <c r="S6" s="48" t="s">
        <v>26</v>
      </c>
      <c r="T6" s="48">
        <f>SUMIF(K6:K16,S6,L6:L16)</f>
        <v>140</v>
      </c>
      <c r="U6" s="48" t="s">
        <v>28</v>
      </c>
      <c r="V6" s="48">
        <f>O5</f>
        <v>-336.3</v>
      </c>
      <c r="W6" s="50"/>
    </row>
    <row r="7" spans="1:23">
      <c r="A7" s="19">
        <v>2</v>
      </c>
      <c r="B7" s="54" t="s">
        <v>149</v>
      </c>
      <c r="C7" s="21">
        <v>1.19</v>
      </c>
      <c r="D7" s="22">
        <v>1</v>
      </c>
      <c r="E7" s="23">
        <v>169.2</v>
      </c>
      <c r="F7" s="26" t="s">
        <v>24</v>
      </c>
      <c r="G7" s="19" t="s">
        <v>27</v>
      </c>
      <c r="H7" s="25">
        <f t="shared" si="1"/>
        <v>8.5</v>
      </c>
      <c r="J7" s="20">
        <v>43119</v>
      </c>
      <c r="K7" s="19" t="s">
        <v>26</v>
      </c>
      <c r="L7" s="23">
        <v>70</v>
      </c>
      <c r="M7" s="19" t="s">
        <v>27</v>
      </c>
      <c r="N7" s="42">
        <v>1.2</v>
      </c>
      <c r="O7" s="23"/>
      <c r="Q7" s="48" t="s">
        <v>25</v>
      </c>
      <c r="R7" s="73">
        <f>SUMIF(G6:G16,Q7,H6:H16)</f>
        <v>0</v>
      </c>
      <c r="S7" s="48" t="s">
        <v>29</v>
      </c>
      <c r="T7" s="48">
        <f>SUMIF(K6:K19,S7,L6:L19)</f>
        <v>661</v>
      </c>
      <c r="U7" s="48" t="s">
        <v>150</v>
      </c>
      <c r="V7" s="49">
        <f>ROUND($V$6*W7,1)</f>
        <v>-235.4</v>
      </c>
      <c r="W7" s="51">
        <v>0.7</v>
      </c>
    </row>
    <row r="8" spans="1:23">
      <c r="A8" s="19">
        <v>3</v>
      </c>
      <c r="B8" s="20">
        <v>43120</v>
      </c>
      <c r="C8" s="34">
        <v>1.2</v>
      </c>
      <c r="D8" s="22">
        <v>1</v>
      </c>
      <c r="E8" s="23">
        <v>160</v>
      </c>
      <c r="F8" s="24" t="s">
        <v>37</v>
      </c>
      <c r="G8" s="19" t="s">
        <v>27</v>
      </c>
      <c r="H8" s="25">
        <f t="shared" si="1"/>
        <v>8</v>
      </c>
      <c r="J8" s="20">
        <v>43120</v>
      </c>
      <c r="K8" s="19" t="s">
        <v>26</v>
      </c>
      <c r="L8" s="23">
        <v>70</v>
      </c>
      <c r="M8" s="19" t="s">
        <v>27</v>
      </c>
      <c r="N8" s="41">
        <v>1.21</v>
      </c>
      <c r="O8" s="23"/>
      <c r="Q8" s="48" t="s">
        <v>32</v>
      </c>
      <c r="R8" s="73">
        <f>SUMIF(G6:G19,Q8,H6:H19)</f>
        <v>0</v>
      </c>
      <c r="S8" s="48" t="s">
        <v>33</v>
      </c>
      <c r="T8" s="48">
        <f>SUMIF(K6:K19,S8,L6:L19)</f>
        <v>0</v>
      </c>
      <c r="U8" s="48" t="s">
        <v>117</v>
      </c>
      <c r="V8" s="49">
        <f>ROUND($V$6*W8,1)</f>
        <v>-100.9</v>
      </c>
      <c r="W8" s="51">
        <v>0.3</v>
      </c>
    </row>
    <row r="9" spans="1:23">
      <c r="A9" s="19">
        <v>4</v>
      </c>
      <c r="B9" s="20"/>
      <c r="C9" s="21"/>
      <c r="D9" s="22"/>
      <c r="E9" s="23"/>
      <c r="F9" s="53"/>
      <c r="G9" s="19"/>
      <c r="H9" s="25">
        <f t="shared" ref="H9:H16" si="2">ROUND(E9*0.05,1)</f>
        <v>0</v>
      </c>
      <c r="J9" s="20">
        <v>43131</v>
      </c>
      <c r="K9" s="19" t="s">
        <v>29</v>
      </c>
      <c r="L9" s="23">
        <v>85</v>
      </c>
      <c r="M9" s="19" t="s">
        <v>30</v>
      </c>
      <c r="N9" s="41" t="s">
        <v>48</v>
      </c>
      <c r="O9" s="23"/>
      <c r="Q9" s="48" t="s">
        <v>35</v>
      </c>
      <c r="R9" s="73">
        <f>SUMIF(G6:G19,Q9,H6:H19)</f>
        <v>0</v>
      </c>
      <c r="S9" s="48" t="s">
        <v>36</v>
      </c>
      <c r="T9" s="48">
        <f>SUMIF(K6:K16,S9,L6:L16)</f>
        <v>0</v>
      </c>
      <c r="U9" s="48"/>
      <c r="V9" s="52"/>
      <c r="W9" s="51"/>
    </row>
    <row r="10" spans="1:23">
      <c r="A10" s="19">
        <v>5</v>
      </c>
      <c r="B10" s="20"/>
      <c r="C10" s="21"/>
      <c r="D10" s="22"/>
      <c r="E10" s="23"/>
      <c r="F10" s="53"/>
      <c r="G10" s="19"/>
      <c r="H10" s="25">
        <f t="shared" si="2"/>
        <v>0</v>
      </c>
      <c r="J10" s="20">
        <v>43131</v>
      </c>
      <c r="K10" s="19" t="s">
        <v>29</v>
      </c>
      <c r="L10" s="23">
        <v>96</v>
      </c>
      <c r="M10" s="19" t="s">
        <v>32</v>
      </c>
      <c r="N10" s="41" t="s">
        <v>151</v>
      </c>
      <c r="O10" s="23"/>
      <c r="Q10" s="48" t="s">
        <v>30</v>
      </c>
      <c r="R10" s="73">
        <f>SUMIF(G6:G16,Q10,H6:H16)</f>
        <v>8</v>
      </c>
      <c r="S10" s="48" t="s">
        <v>38</v>
      </c>
      <c r="T10" s="48">
        <f>SUMIF(K6:K19,S10,L6:L19)</f>
        <v>0</v>
      </c>
      <c r="U10" s="48"/>
      <c r="V10" s="52"/>
      <c r="W10" s="51"/>
    </row>
    <row r="11" spans="1:23">
      <c r="A11" s="19">
        <v>6</v>
      </c>
      <c r="B11" s="20"/>
      <c r="C11" s="21"/>
      <c r="D11" s="22"/>
      <c r="E11" s="23"/>
      <c r="F11" s="24"/>
      <c r="G11" s="58"/>
      <c r="H11" s="25">
        <f t="shared" si="2"/>
        <v>0</v>
      </c>
      <c r="J11" s="20"/>
      <c r="K11" s="19"/>
      <c r="L11" s="23"/>
      <c r="M11" s="20"/>
      <c r="N11" s="19"/>
      <c r="O11" s="23"/>
      <c r="Q11" s="48" t="s">
        <v>39</v>
      </c>
      <c r="R11" s="73">
        <f>SUMIF(G6:G19,Q11,H6:H19)</f>
        <v>0</v>
      </c>
      <c r="S11" s="48" t="s">
        <v>40</v>
      </c>
      <c r="T11" s="48">
        <f>SUMIF(K6:K19,S11,L6:L19)</f>
        <v>0</v>
      </c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25">
        <f t="shared" si="2"/>
        <v>0</v>
      </c>
      <c r="J12" s="20"/>
      <c r="K12" s="19"/>
      <c r="L12" s="23"/>
      <c r="M12" s="20"/>
      <c r="N12" s="19"/>
      <c r="O12" s="23"/>
    </row>
    <row r="13" spans="1:15">
      <c r="A13" s="19">
        <v>8</v>
      </c>
      <c r="B13" s="20"/>
      <c r="C13" s="21"/>
      <c r="D13" s="22"/>
      <c r="E13" s="23"/>
      <c r="F13" s="24"/>
      <c r="G13" s="19"/>
      <c r="H13" s="25">
        <f t="shared" si="2"/>
        <v>0</v>
      </c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5">
        <f t="shared" si="2"/>
        <v>0</v>
      </c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25">
        <f t="shared" si="2"/>
        <v>0</v>
      </c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25">
        <f t="shared" si="2"/>
        <v>0</v>
      </c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13"/>
      <c r="C17" s="14"/>
      <c r="D17" s="15">
        <f t="shared" ref="D17:H17" si="3">SUM(D18:D28)</f>
        <v>19</v>
      </c>
      <c r="E17" s="16">
        <f t="shared" si="3"/>
        <v>4716.1</v>
      </c>
      <c r="F17" s="14"/>
      <c r="G17" s="14"/>
      <c r="H17" s="16">
        <f t="shared" si="3"/>
        <v>229.9</v>
      </c>
      <c r="J17" s="14"/>
      <c r="K17" s="14"/>
      <c r="L17" s="16">
        <f>SUM(L18:L28)</f>
        <v>1390</v>
      </c>
      <c r="M17" s="14"/>
      <c r="N17" s="14"/>
      <c r="O17" s="16">
        <f>E17-H17-L17</f>
        <v>3096.2</v>
      </c>
      <c r="Q17" s="48"/>
      <c r="R17" s="48">
        <f>SUM(R18:R23)</f>
        <v>247.3</v>
      </c>
      <c r="S17" s="48"/>
      <c r="T17" s="49">
        <f>SUM(T18:T23)</f>
        <v>1390</v>
      </c>
      <c r="U17" s="48"/>
      <c r="V17" s="48"/>
      <c r="W17" s="50"/>
    </row>
    <row r="18" spans="1:23">
      <c r="A18" s="19">
        <v>1</v>
      </c>
      <c r="B18" s="20">
        <v>43133</v>
      </c>
      <c r="C18" s="21">
        <v>2.2</v>
      </c>
      <c r="D18" s="22">
        <v>1</v>
      </c>
      <c r="E18" s="23">
        <v>179.1</v>
      </c>
      <c r="F18" s="24" t="s">
        <v>46</v>
      </c>
      <c r="G18" s="19" t="s">
        <v>25</v>
      </c>
      <c r="H18" s="25">
        <f t="shared" ref="H18:H20" si="4">ROUND(E18*0.05,1)</f>
        <v>9</v>
      </c>
      <c r="J18" s="40">
        <v>43139</v>
      </c>
      <c r="K18" s="19" t="s">
        <v>26</v>
      </c>
      <c r="L18" s="23">
        <v>105</v>
      </c>
      <c r="M18" s="19" t="s">
        <v>32</v>
      </c>
      <c r="N18" s="41">
        <v>2.9</v>
      </c>
      <c r="O18" s="23"/>
      <c r="Q18" s="48" t="s">
        <v>27</v>
      </c>
      <c r="R18" s="73">
        <f>SUMIF(G18:G28,Q18,H18:H28)</f>
        <v>50.7</v>
      </c>
      <c r="S18" s="48" t="s">
        <v>26</v>
      </c>
      <c r="T18" s="48">
        <f>SUMIF(K18:K28,S18,L18:L28)</f>
        <v>980</v>
      </c>
      <c r="U18" s="48" t="s">
        <v>28</v>
      </c>
      <c r="V18" s="48">
        <f>O17</f>
        <v>3096.2</v>
      </c>
      <c r="W18" s="50"/>
    </row>
    <row r="19" spans="1:23">
      <c r="A19" s="19">
        <v>2</v>
      </c>
      <c r="B19" s="20">
        <v>43134</v>
      </c>
      <c r="C19" s="21" t="s">
        <v>152</v>
      </c>
      <c r="D19" s="22">
        <v>6</v>
      </c>
      <c r="E19" s="23">
        <f>199*6</f>
        <v>1194</v>
      </c>
      <c r="F19" s="24" t="s">
        <v>37</v>
      </c>
      <c r="G19" s="19" t="s">
        <v>25</v>
      </c>
      <c r="H19" s="25">
        <f t="shared" si="4"/>
        <v>59.7</v>
      </c>
      <c r="J19" s="20">
        <v>43140</v>
      </c>
      <c r="K19" s="19" t="s">
        <v>36</v>
      </c>
      <c r="L19" s="23">
        <v>210</v>
      </c>
      <c r="M19" s="19" t="s">
        <v>25</v>
      </c>
      <c r="N19" s="41" t="s">
        <v>153</v>
      </c>
      <c r="O19" s="23"/>
      <c r="Q19" s="48" t="s">
        <v>25</v>
      </c>
      <c r="R19" s="73">
        <f>SUMIF(G18:G28,Q19,H18:H28)</f>
        <v>179.2</v>
      </c>
      <c r="S19" s="48" t="s">
        <v>29</v>
      </c>
      <c r="T19" s="48">
        <f>SUMIF(K18:K31,S19,L18:L31)</f>
        <v>200</v>
      </c>
      <c r="U19" s="48" t="s">
        <v>150</v>
      </c>
      <c r="V19" s="49">
        <f>ROUND(V18*W19,1)</f>
        <v>2167.3</v>
      </c>
      <c r="W19" s="51">
        <v>0.7</v>
      </c>
    </row>
    <row r="20" spans="1:23">
      <c r="A20" s="19">
        <v>3</v>
      </c>
      <c r="B20" s="20">
        <v>43140</v>
      </c>
      <c r="C20" s="20" t="s">
        <v>154</v>
      </c>
      <c r="D20" s="21"/>
      <c r="E20" s="22">
        <v>120</v>
      </c>
      <c r="F20" s="23"/>
      <c r="G20" s="19"/>
      <c r="H20" s="25"/>
      <c r="J20" s="20">
        <v>43142</v>
      </c>
      <c r="K20" s="19" t="s">
        <v>26</v>
      </c>
      <c r="L20" s="23">
        <v>140</v>
      </c>
      <c r="M20" s="19" t="s">
        <v>27</v>
      </c>
      <c r="N20" s="41">
        <v>2.11</v>
      </c>
      <c r="O20" s="23"/>
      <c r="Q20" s="48" t="s">
        <v>32</v>
      </c>
      <c r="R20" s="73">
        <f>SUMIF(G18:G31,Q20,H18:H31)</f>
        <v>17.4</v>
      </c>
      <c r="S20" s="48" t="s">
        <v>33</v>
      </c>
      <c r="T20" s="48">
        <f>SUMIF(K18:K31,S20,L18:L31)</f>
        <v>0</v>
      </c>
      <c r="U20" s="48" t="s">
        <v>117</v>
      </c>
      <c r="V20" s="49">
        <f>ROUND(V18*W20,1)</f>
        <v>928.9</v>
      </c>
      <c r="W20" s="51">
        <v>0.3</v>
      </c>
    </row>
    <row r="21" spans="1:23">
      <c r="A21" s="19">
        <v>4</v>
      </c>
      <c r="B21" s="20">
        <v>43142</v>
      </c>
      <c r="C21" s="21" t="s">
        <v>155</v>
      </c>
      <c r="D21" s="22">
        <v>2</v>
      </c>
      <c r="E21" s="23">
        <v>338.4</v>
      </c>
      <c r="F21" s="24" t="s">
        <v>24</v>
      </c>
      <c r="G21" s="19" t="s">
        <v>27</v>
      </c>
      <c r="H21" s="25">
        <f t="shared" ref="H21:H28" si="5">ROUND(E21*0.05,1)</f>
        <v>16.9</v>
      </c>
      <c r="J21" s="20">
        <v>43150</v>
      </c>
      <c r="K21" s="19" t="s">
        <v>29</v>
      </c>
      <c r="L21" s="23">
        <v>200</v>
      </c>
      <c r="M21" s="19" t="s">
        <v>30</v>
      </c>
      <c r="N21" s="41" t="s">
        <v>96</v>
      </c>
      <c r="O21" s="23"/>
      <c r="Q21" s="48" t="s">
        <v>35</v>
      </c>
      <c r="R21" s="73">
        <f>SUMIF(G18:G28,Q21,H18:H28)</f>
        <v>0</v>
      </c>
      <c r="S21" s="48" t="s">
        <v>36</v>
      </c>
      <c r="T21" s="48">
        <f>SUMIF(K18:K28,S21,L18:L28)</f>
        <v>210</v>
      </c>
      <c r="U21" s="48"/>
      <c r="V21" s="52"/>
      <c r="W21" s="51"/>
    </row>
    <row r="22" spans="1:23">
      <c r="A22" s="19">
        <v>5</v>
      </c>
      <c r="B22" s="20">
        <v>43139</v>
      </c>
      <c r="C22" s="21" t="s">
        <v>156</v>
      </c>
      <c r="D22" s="22">
        <v>2</v>
      </c>
      <c r="E22" s="23">
        <v>878.4</v>
      </c>
      <c r="F22" s="24" t="s">
        <v>46</v>
      </c>
      <c r="G22" s="19" t="s">
        <v>25</v>
      </c>
      <c r="H22" s="25">
        <f t="shared" si="5"/>
        <v>43.9</v>
      </c>
      <c r="J22" s="20">
        <v>43150</v>
      </c>
      <c r="K22" s="19" t="s">
        <v>26</v>
      </c>
      <c r="L22" s="23">
        <v>140</v>
      </c>
      <c r="M22" s="19" t="s">
        <v>32</v>
      </c>
      <c r="N22" s="41" t="s">
        <v>56</v>
      </c>
      <c r="O22" s="23"/>
      <c r="Q22" s="48" t="s">
        <v>30</v>
      </c>
      <c r="R22" s="73">
        <f>SUMIF(G18:G28,Q22,H18:H28)</f>
        <v>0</v>
      </c>
      <c r="S22" s="48" t="s">
        <v>38</v>
      </c>
      <c r="T22" s="48">
        <f>SUMIF(K18:K31,S22,L18:L31)</f>
        <v>0</v>
      </c>
      <c r="U22" s="48"/>
      <c r="V22" s="52"/>
      <c r="W22" s="51"/>
    </row>
    <row r="23" spans="1:23">
      <c r="A23" s="19">
        <v>6</v>
      </c>
      <c r="B23" s="20">
        <v>43149</v>
      </c>
      <c r="C23" s="21">
        <v>2.19</v>
      </c>
      <c r="D23" s="22">
        <v>1</v>
      </c>
      <c r="E23" s="23">
        <v>460</v>
      </c>
      <c r="F23" s="24" t="s">
        <v>46</v>
      </c>
      <c r="G23" s="19" t="s">
        <v>25</v>
      </c>
      <c r="H23" s="25">
        <f t="shared" si="5"/>
        <v>23</v>
      </c>
      <c r="J23" s="20">
        <v>43151</v>
      </c>
      <c r="K23" s="19" t="s">
        <v>26</v>
      </c>
      <c r="L23" s="23">
        <v>140</v>
      </c>
      <c r="M23" s="19" t="s">
        <v>32</v>
      </c>
      <c r="N23" s="41" t="s">
        <v>56</v>
      </c>
      <c r="O23" s="23"/>
      <c r="Q23" s="48" t="s">
        <v>39</v>
      </c>
      <c r="R23" s="73">
        <f>SUMIF(G18:G28,Q23,H18:H28)</f>
        <v>0</v>
      </c>
      <c r="S23" s="48" t="s">
        <v>40</v>
      </c>
      <c r="T23" s="48">
        <f>SUMIF(K18:K31,S23,L18:L31)</f>
        <v>0</v>
      </c>
      <c r="U23" s="48"/>
      <c r="V23" s="48"/>
      <c r="W23" s="50"/>
    </row>
    <row r="24" spans="1:15">
      <c r="A24" s="19">
        <v>7</v>
      </c>
      <c r="B24" s="20">
        <v>43151</v>
      </c>
      <c r="C24" s="34">
        <v>2.2</v>
      </c>
      <c r="D24" s="22">
        <v>1</v>
      </c>
      <c r="E24" s="23">
        <v>439.2</v>
      </c>
      <c r="F24" s="24" t="s">
        <v>24</v>
      </c>
      <c r="G24" s="19" t="s">
        <v>25</v>
      </c>
      <c r="H24" s="25">
        <f t="shared" si="5"/>
        <v>22</v>
      </c>
      <c r="J24" s="20">
        <v>43152</v>
      </c>
      <c r="K24" s="19" t="s">
        <v>26</v>
      </c>
      <c r="L24" s="23">
        <v>140</v>
      </c>
      <c r="M24" s="19" t="s">
        <v>32</v>
      </c>
      <c r="N24" s="41" t="s">
        <v>56</v>
      </c>
      <c r="O24" s="23"/>
    </row>
    <row r="25" spans="1:15">
      <c r="A25" s="19">
        <v>8</v>
      </c>
      <c r="B25" s="20">
        <v>43153</v>
      </c>
      <c r="C25" s="21">
        <v>2.22</v>
      </c>
      <c r="D25" s="22">
        <v>1</v>
      </c>
      <c r="E25" s="23">
        <v>215.1</v>
      </c>
      <c r="F25" s="32" t="s">
        <v>46</v>
      </c>
      <c r="G25" s="19" t="s">
        <v>25</v>
      </c>
      <c r="H25" s="25">
        <f t="shared" si="5"/>
        <v>10.8</v>
      </c>
      <c r="J25" s="20">
        <v>43154</v>
      </c>
      <c r="K25" s="19" t="s">
        <v>26</v>
      </c>
      <c r="L25" s="23">
        <f t="shared" ref="L25:L27" si="6">70*1.5</f>
        <v>105</v>
      </c>
      <c r="M25" s="19" t="s">
        <v>32</v>
      </c>
      <c r="N25" s="41" t="s">
        <v>56</v>
      </c>
      <c r="O25" s="23"/>
    </row>
    <row r="26" spans="1:15">
      <c r="A26" s="19">
        <v>9</v>
      </c>
      <c r="B26" s="20">
        <v>43155</v>
      </c>
      <c r="C26" s="21" t="s">
        <v>157</v>
      </c>
      <c r="D26" s="22">
        <v>2</v>
      </c>
      <c r="E26" s="23">
        <v>338.4</v>
      </c>
      <c r="F26" s="24" t="s">
        <v>24</v>
      </c>
      <c r="G26" s="19" t="s">
        <v>27</v>
      </c>
      <c r="H26" s="25">
        <f t="shared" si="5"/>
        <v>16.9</v>
      </c>
      <c r="J26" s="20">
        <v>43157</v>
      </c>
      <c r="K26" s="19" t="s">
        <v>26</v>
      </c>
      <c r="L26" s="23">
        <f t="shared" si="6"/>
        <v>105</v>
      </c>
      <c r="M26" s="19" t="s">
        <v>32</v>
      </c>
      <c r="N26" s="41" t="s">
        <v>56</v>
      </c>
      <c r="O26" s="23"/>
    </row>
    <row r="27" spans="1:15">
      <c r="A27" s="19">
        <v>10</v>
      </c>
      <c r="B27" s="20">
        <v>43157</v>
      </c>
      <c r="C27" s="21">
        <v>2.26</v>
      </c>
      <c r="D27" s="22">
        <v>1</v>
      </c>
      <c r="E27" s="23">
        <v>215.1</v>
      </c>
      <c r="F27" s="24" t="s">
        <v>46</v>
      </c>
      <c r="G27" s="19" t="s">
        <v>25</v>
      </c>
      <c r="H27" s="25">
        <f t="shared" si="5"/>
        <v>10.8</v>
      </c>
      <c r="J27" s="20">
        <v>43158</v>
      </c>
      <c r="K27" s="19" t="s">
        <v>26</v>
      </c>
      <c r="L27" s="23">
        <f t="shared" si="6"/>
        <v>105</v>
      </c>
      <c r="M27" s="19" t="s">
        <v>32</v>
      </c>
      <c r="N27" s="41" t="s">
        <v>56</v>
      </c>
      <c r="O27" s="23"/>
    </row>
    <row r="28" spans="1:15">
      <c r="A28" s="19">
        <v>11</v>
      </c>
      <c r="B28" s="20">
        <v>43157</v>
      </c>
      <c r="C28" s="21" t="s">
        <v>158</v>
      </c>
      <c r="D28" s="22">
        <v>2</v>
      </c>
      <c r="E28" s="23">
        <v>338.4</v>
      </c>
      <c r="F28" s="24" t="s">
        <v>24</v>
      </c>
      <c r="G28" s="19" t="s">
        <v>27</v>
      </c>
      <c r="H28" s="25">
        <f t="shared" si="5"/>
        <v>16.9</v>
      </c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7">SUM(D30:D40)</f>
        <v>27</v>
      </c>
      <c r="E29" s="16">
        <f t="shared" si="7"/>
        <v>2414.6</v>
      </c>
      <c r="F29" s="14"/>
      <c r="G29" s="14"/>
      <c r="H29" s="16">
        <f t="shared" si="7"/>
        <v>120.8</v>
      </c>
      <c r="J29" s="14"/>
      <c r="K29" s="14"/>
      <c r="L29" s="16">
        <f>SUM(L30:L40)</f>
        <v>305</v>
      </c>
      <c r="M29" s="14"/>
      <c r="N29" s="14"/>
      <c r="O29" s="16">
        <f>E29-H29-L29</f>
        <v>1988.8</v>
      </c>
      <c r="Q29" s="48"/>
      <c r="R29" s="48">
        <f>SUM(R30:R35)</f>
        <v>120.8</v>
      </c>
      <c r="S29" s="48"/>
      <c r="T29" s="49">
        <f>SUM(T30:T35)</f>
        <v>305</v>
      </c>
      <c r="U29" s="48"/>
      <c r="V29" s="48"/>
      <c r="W29" s="50"/>
    </row>
    <row r="30" spans="1:23">
      <c r="A30" s="19">
        <v>1</v>
      </c>
      <c r="B30" s="20">
        <v>43164</v>
      </c>
      <c r="C30" s="21" t="s">
        <v>159</v>
      </c>
      <c r="D30" s="22">
        <v>2</v>
      </c>
      <c r="E30" s="23">
        <v>376</v>
      </c>
      <c r="F30" s="24" t="s">
        <v>37</v>
      </c>
      <c r="G30" s="19" t="s">
        <v>30</v>
      </c>
      <c r="H30" s="25">
        <f t="shared" ref="H30:H32" si="8">ROUND(E30*0.05,1)</f>
        <v>18.8</v>
      </c>
      <c r="J30" s="40">
        <v>43164</v>
      </c>
      <c r="K30" s="19" t="s">
        <v>26</v>
      </c>
      <c r="L30" s="23">
        <v>70</v>
      </c>
      <c r="M30" s="40" t="s">
        <v>27</v>
      </c>
      <c r="N30" s="19">
        <v>3.7</v>
      </c>
      <c r="O30" s="23"/>
      <c r="Q30" s="48" t="s">
        <v>27</v>
      </c>
      <c r="R30" s="73">
        <f>SUMIF(G30:G40,Q30,H30:H40)</f>
        <v>0</v>
      </c>
      <c r="S30" s="48" t="s">
        <v>26</v>
      </c>
      <c r="T30" s="48">
        <f>SUMIF(K30:K40,S30,L30:L40)</f>
        <v>140</v>
      </c>
      <c r="U30" s="48" t="s">
        <v>28</v>
      </c>
      <c r="V30" s="48">
        <f>O29</f>
        <v>1988.8</v>
      </c>
      <c r="W30" s="50"/>
    </row>
    <row r="31" spans="1:23">
      <c r="A31" s="19">
        <v>2</v>
      </c>
      <c r="B31" s="20">
        <v>43167</v>
      </c>
      <c r="C31" s="21" t="s">
        <v>160</v>
      </c>
      <c r="D31" s="22">
        <v>3</v>
      </c>
      <c r="E31" s="23">
        <v>347</v>
      </c>
      <c r="F31" s="32" t="s">
        <v>161</v>
      </c>
      <c r="G31" s="19" t="s">
        <v>32</v>
      </c>
      <c r="H31" s="25">
        <f t="shared" si="8"/>
        <v>17.4</v>
      </c>
      <c r="J31" s="20">
        <v>43166</v>
      </c>
      <c r="K31" s="19" t="s">
        <v>26</v>
      </c>
      <c r="L31" s="23">
        <v>70</v>
      </c>
      <c r="M31" s="20" t="s">
        <v>27</v>
      </c>
      <c r="N31" s="19">
        <v>3.7</v>
      </c>
      <c r="O31" s="23"/>
      <c r="Q31" s="48" t="s">
        <v>25</v>
      </c>
      <c r="R31" s="73">
        <f>SUMIF(G30:G40,Q31,H30:H40)</f>
        <v>0</v>
      </c>
      <c r="S31" s="48" t="s">
        <v>29</v>
      </c>
      <c r="T31" s="48">
        <f>SUMIF(K30:K43,S31,L30:L43)</f>
        <v>85</v>
      </c>
      <c r="U31" s="48" t="s">
        <v>150</v>
      </c>
      <c r="V31" s="49">
        <f>ROUND(V30*W31,1)</f>
        <v>1392.2</v>
      </c>
      <c r="W31" s="51">
        <v>0.7</v>
      </c>
    </row>
    <row r="32" spans="1:23">
      <c r="A32" s="19">
        <v>3</v>
      </c>
      <c r="B32" s="20">
        <v>43167</v>
      </c>
      <c r="C32" s="21" t="s">
        <v>162</v>
      </c>
      <c r="D32" s="22">
        <v>22</v>
      </c>
      <c r="E32" s="23">
        <f>ROUND(2153/28*22,1)</f>
        <v>1691.6</v>
      </c>
      <c r="F32" s="24" t="s">
        <v>37</v>
      </c>
      <c r="G32" s="19" t="s">
        <v>32</v>
      </c>
      <c r="H32" s="25">
        <f t="shared" si="8"/>
        <v>84.6</v>
      </c>
      <c r="J32" s="20">
        <v>43168</v>
      </c>
      <c r="K32" s="19" t="s">
        <v>36</v>
      </c>
      <c r="L32" s="23">
        <v>80</v>
      </c>
      <c r="M32" s="20" t="s">
        <v>30</v>
      </c>
      <c r="N32" s="19" t="s">
        <v>163</v>
      </c>
      <c r="O32" s="23"/>
      <c r="Q32" s="48" t="s">
        <v>32</v>
      </c>
      <c r="R32" s="73">
        <f>SUMIF(G30:G40,Q32,H30:H40)</f>
        <v>102</v>
      </c>
      <c r="S32" s="48" t="s">
        <v>33</v>
      </c>
      <c r="T32" s="48">
        <f>SUMIF(K30:K43,S32,L30:L43)</f>
        <v>0</v>
      </c>
      <c r="U32" s="48" t="s">
        <v>117</v>
      </c>
      <c r="V32" s="49">
        <f>ROUND(V30*W32,1)</f>
        <v>596.6</v>
      </c>
      <c r="W32" s="51">
        <v>0.3</v>
      </c>
    </row>
    <row r="33" spans="1:23">
      <c r="A33" s="19">
        <v>4</v>
      </c>
      <c r="B33" s="20"/>
      <c r="C33" s="21"/>
      <c r="D33" s="22"/>
      <c r="E33" s="23"/>
      <c r="F33" s="24"/>
      <c r="G33" s="19"/>
      <c r="H33" s="25"/>
      <c r="J33" s="20">
        <v>43178</v>
      </c>
      <c r="K33" s="19" t="s">
        <v>29</v>
      </c>
      <c r="L33" s="23">
        <v>85</v>
      </c>
      <c r="M33" s="20" t="s">
        <v>32</v>
      </c>
      <c r="N33" s="19" t="s">
        <v>48</v>
      </c>
      <c r="O33" s="23"/>
      <c r="Q33" s="48" t="s">
        <v>35</v>
      </c>
      <c r="R33" s="73">
        <f>SUMIF(G30:G40,Q33,H30:H40)</f>
        <v>0</v>
      </c>
      <c r="S33" s="48" t="s">
        <v>36</v>
      </c>
      <c r="T33" s="48">
        <f>SUMIF(K30:K40,S33,L30:L40)</f>
        <v>80</v>
      </c>
      <c r="U33" s="48"/>
      <c r="V33" s="52"/>
      <c r="W33" s="51"/>
    </row>
    <row r="34" spans="1:23">
      <c r="A34" s="19">
        <v>5</v>
      </c>
      <c r="B34" s="20"/>
      <c r="C34" s="21"/>
      <c r="D34" s="22"/>
      <c r="E34" s="23"/>
      <c r="F34" s="24"/>
      <c r="G34" s="19"/>
      <c r="H34" s="19"/>
      <c r="J34" s="20"/>
      <c r="K34" s="19"/>
      <c r="L34" s="23"/>
      <c r="M34" s="20"/>
      <c r="N34" s="19"/>
      <c r="O34" s="23"/>
      <c r="Q34" s="48" t="s">
        <v>30</v>
      </c>
      <c r="R34" s="73">
        <f>SUMIF(G30:G40,Q34,H30:H40)</f>
        <v>18.8</v>
      </c>
      <c r="S34" s="48" t="s">
        <v>38</v>
      </c>
      <c r="T34" s="48">
        <f>SUMIF(K30:K43,S34,L30:L43)</f>
        <v>0</v>
      </c>
      <c r="U34" s="48"/>
      <c r="V34" s="52"/>
      <c r="W34" s="51"/>
    </row>
    <row r="35" spans="1:23">
      <c r="A35" s="19">
        <v>6</v>
      </c>
      <c r="B35" s="20"/>
      <c r="C35" s="21"/>
      <c r="D35" s="22"/>
      <c r="E35" s="23"/>
      <c r="F35" s="24"/>
      <c r="G35" s="19"/>
      <c r="H35" s="19"/>
      <c r="J35" s="20"/>
      <c r="K35" s="19"/>
      <c r="L35" s="23"/>
      <c r="M35" s="20"/>
      <c r="N35" s="19"/>
      <c r="O35" s="23"/>
      <c r="Q35" s="48" t="s">
        <v>39</v>
      </c>
      <c r="R35" s="73">
        <f>SUMIF(G30:G40,Q35,H30:H40)</f>
        <v>0</v>
      </c>
      <c r="S35" s="48" t="s">
        <v>40</v>
      </c>
      <c r="T35" s="48">
        <f>SUMIF(K30:K43,S35,L30:L43)</f>
        <v>0</v>
      </c>
      <c r="U35" s="48"/>
      <c r="V35" s="48"/>
      <c r="W35" s="50"/>
    </row>
    <row r="36" spans="1:15">
      <c r="A36" s="19">
        <v>7</v>
      </c>
      <c r="B36" s="20"/>
      <c r="C36" s="21"/>
      <c r="D36" s="22"/>
      <c r="E36" s="23"/>
      <c r="F36" s="24"/>
      <c r="G36" s="19"/>
      <c r="H36" s="19"/>
      <c r="J36" s="20"/>
      <c r="K36" s="19"/>
      <c r="L36" s="23"/>
      <c r="M36" s="20"/>
      <c r="N36" s="19"/>
      <c r="O36" s="23"/>
    </row>
    <row r="37" spans="1:15">
      <c r="A37" s="19">
        <v>8</v>
      </c>
      <c r="B37" s="20"/>
      <c r="C37" s="21"/>
      <c r="D37" s="22"/>
      <c r="E37" s="23"/>
      <c r="F37" s="24"/>
      <c r="G37" s="19"/>
      <c r="H37" s="19"/>
      <c r="J37" s="20"/>
      <c r="K37" s="19"/>
      <c r="L37" s="23"/>
      <c r="M37" s="20"/>
      <c r="N37" s="19"/>
      <c r="O37" s="23"/>
    </row>
    <row r="38" spans="1:15">
      <c r="A38" s="19">
        <v>9</v>
      </c>
      <c r="B38" s="20"/>
      <c r="C38" s="21"/>
      <c r="D38" s="22"/>
      <c r="E38" s="23"/>
      <c r="F38" s="24"/>
      <c r="G38" s="19"/>
      <c r="H38" s="19"/>
      <c r="J38" s="20"/>
      <c r="K38" s="19"/>
      <c r="L38" s="23"/>
      <c r="M38" s="20"/>
      <c r="N38" s="19"/>
      <c r="O38" s="23"/>
    </row>
    <row r="39" spans="1:15">
      <c r="A39" s="19">
        <v>10</v>
      </c>
      <c r="B39" s="20"/>
      <c r="C39" s="21"/>
      <c r="D39" s="22"/>
      <c r="E39" s="23"/>
      <c r="F39" s="24"/>
      <c r="G39" s="19"/>
      <c r="H39" s="19"/>
      <c r="J39" s="20"/>
      <c r="K39" s="19"/>
      <c r="L39" s="23"/>
      <c r="M39" s="20"/>
      <c r="N39" s="19"/>
      <c r="O39" s="23"/>
    </row>
    <row r="40" spans="1:15">
      <c r="A40" s="19">
        <v>11</v>
      </c>
      <c r="B40" s="20"/>
      <c r="C40" s="21"/>
      <c r="D40" s="22"/>
      <c r="E40" s="23"/>
      <c r="F40" s="24"/>
      <c r="G40" s="19"/>
      <c r="H40" s="19"/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13"/>
      <c r="C41" s="14"/>
      <c r="D41" s="15">
        <f t="shared" ref="D41:H41" si="9">SUM(D42:D52)</f>
        <v>15</v>
      </c>
      <c r="E41" s="16">
        <f t="shared" si="9"/>
        <v>1837.8</v>
      </c>
      <c r="F41" s="14"/>
      <c r="G41" s="14"/>
      <c r="H41" s="16">
        <f t="shared" si="9"/>
        <v>92</v>
      </c>
      <c r="J41" s="14"/>
      <c r="K41" s="14"/>
      <c r="L41" s="16">
        <f>SUM(L42:L52)</f>
        <v>0</v>
      </c>
      <c r="M41" s="14"/>
      <c r="N41" s="14"/>
      <c r="O41" s="16"/>
    </row>
    <row r="42" spans="1:15">
      <c r="A42" s="19">
        <v>1</v>
      </c>
      <c r="B42" s="20">
        <v>43167</v>
      </c>
      <c r="C42" s="21" t="s">
        <v>164</v>
      </c>
      <c r="D42" s="22">
        <v>6</v>
      </c>
      <c r="E42" s="23">
        <f>ROUND(2153/28*6,1)</f>
        <v>461.4</v>
      </c>
      <c r="F42" s="24" t="s">
        <v>37</v>
      </c>
      <c r="G42" s="19" t="s">
        <v>32</v>
      </c>
      <c r="H42" s="25">
        <f t="shared" ref="H42:H48" si="10">ROUND(E42*0.05,1)</f>
        <v>23.1</v>
      </c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43204</v>
      </c>
      <c r="C43" s="21">
        <v>4.14</v>
      </c>
      <c r="D43" s="22">
        <v>1</v>
      </c>
      <c r="E43" s="23">
        <v>179.1</v>
      </c>
      <c r="F43" s="24" t="s">
        <v>24</v>
      </c>
      <c r="G43" s="19" t="s">
        <v>25</v>
      </c>
      <c r="H43" s="25">
        <f t="shared" si="10"/>
        <v>9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>
        <v>43205</v>
      </c>
      <c r="C44" s="21">
        <v>4.15</v>
      </c>
      <c r="D44" s="22">
        <v>1</v>
      </c>
      <c r="E44" s="23"/>
      <c r="F44" s="24" t="s">
        <v>37</v>
      </c>
      <c r="G44" s="19" t="s">
        <v>30</v>
      </c>
      <c r="H44" s="25">
        <f t="shared" si="10"/>
        <v>0</v>
      </c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43205</v>
      </c>
      <c r="C45" s="21">
        <v>4.29</v>
      </c>
      <c r="D45" s="22">
        <v>1</v>
      </c>
      <c r="E45" s="23">
        <v>187.2</v>
      </c>
      <c r="F45" s="32" t="s">
        <v>24</v>
      </c>
      <c r="G45" s="19" t="s">
        <v>27</v>
      </c>
      <c r="H45" s="25">
        <f t="shared" si="10"/>
        <v>9.4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43205</v>
      </c>
      <c r="C46" s="21" t="s">
        <v>110</v>
      </c>
      <c r="D46" s="22">
        <v>4</v>
      </c>
      <c r="E46" s="23">
        <f>150*4</f>
        <v>600</v>
      </c>
      <c r="F46" s="33" t="s">
        <v>37</v>
      </c>
      <c r="G46" s="19" t="s">
        <v>25</v>
      </c>
      <c r="H46" s="25">
        <f t="shared" si="10"/>
        <v>30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43210</v>
      </c>
      <c r="C47" s="21">
        <v>4.21</v>
      </c>
      <c r="D47" s="22">
        <v>1</v>
      </c>
      <c r="E47" s="23">
        <v>150</v>
      </c>
      <c r="F47" s="24" t="s">
        <v>37</v>
      </c>
      <c r="G47" s="19" t="s">
        <v>25</v>
      </c>
      <c r="H47" s="25">
        <f t="shared" si="10"/>
        <v>7.5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43216</v>
      </c>
      <c r="C48" s="34">
        <v>4.3</v>
      </c>
      <c r="D48" s="22">
        <v>1</v>
      </c>
      <c r="E48" s="23">
        <f>(520.2/2)</f>
        <v>260.1</v>
      </c>
      <c r="F48" s="24" t="s">
        <v>46</v>
      </c>
      <c r="G48" s="19" t="s">
        <v>25</v>
      </c>
      <c r="H48" s="25">
        <f t="shared" si="10"/>
        <v>13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/>
      <c r="C49" s="21"/>
      <c r="D49" s="22"/>
      <c r="E49" s="23"/>
      <c r="F49" s="24"/>
      <c r="G49" s="19"/>
      <c r="H49" s="19"/>
      <c r="J49" s="20"/>
      <c r="K49" s="19"/>
      <c r="L49" s="23"/>
      <c r="M49" s="20"/>
      <c r="N49" s="19"/>
      <c r="O49" s="23"/>
    </row>
    <row r="50" spans="1:15">
      <c r="A50" s="19">
        <v>9</v>
      </c>
      <c r="B50" s="20"/>
      <c r="C50" s="21"/>
      <c r="D50" s="22"/>
      <c r="E50" s="23"/>
      <c r="F50" s="24"/>
      <c r="G50" s="19"/>
      <c r="H50" s="19"/>
      <c r="J50" s="20"/>
      <c r="K50" s="19"/>
      <c r="L50" s="23"/>
      <c r="M50" s="20"/>
      <c r="N50" s="19"/>
      <c r="O50" s="23"/>
    </row>
    <row r="51" spans="1:15">
      <c r="A51" s="19">
        <v>10</v>
      </c>
      <c r="B51" s="20"/>
      <c r="C51" s="21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11</v>
      </c>
      <c r="B52" s="20"/>
      <c r="C52" s="21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ht="30" customHeight="1" spans="1:15">
      <c r="A53" s="12" t="s">
        <v>76</v>
      </c>
      <c r="B53" s="13"/>
      <c r="C53" s="14"/>
      <c r="D53" s="15">
        <f t="shared" ref="D53:H53" si="11">SUM(D54:D64)</f>
        <v>0</v>
      </c>
      <c r="E53" s="16">
        <f t="shared" si="11"/>
        <v>0</v>
      </c>
      <c r="F53" s="14"/>
      <c r="G53" s="14"/>
      <c r="H53" s="16">
        <f t="shared" si="11"/>
        <v>0</v>
      </c>
      <c r="J53" s="14"/>
      <c r="K53" s="14"/>
      <c r="L53" s="16">
        <f>SUM(L54:L64)</f>
        <v>0</v>
      </c>
      <c r="M53" s="14"/>
      <c r="N53" s="14"/>
      <c r="O53" s="16"/>
    </row>
    <row r="54" spans="1:15">
      <c r="A54" s="19">
        <v>1</v>
      </c>
      <c r="B54" s="20"/>
      <c r="C54" s="21"/>
      <c r="D54" s="22"/>
      <c r="E54" s="23"/>
      <c r="F54" s="24"/>
      <c r="G54" s="19"/>
      <c r="H54" s="19"/>
      <c r="J54" s="40"/>
      <c r="K54" s="19"/>
      <c r="L54" s="23"/>
      <c r="M54" s="40"/>
      <c r="N54" s="19"/>
      <c r="O54" s="23"/>
    </row>
    <row r="55" spans="1:15">
      <c r="A55" s="19">
        <v>2</v>
      </c>
      <c r="B55" s="20"/>
      <c r="C55" s="21"/>
      <c r="D55" s="22"/>
      <c r="E55" s="23"/>
      <c r="F55" s="19"/>
      <c r="G55" s="19"/>
      <c r="H55" s="19"/>
      <c r="J55" s="20"/>
      <c r="K55" s="19"/>
      <c r="L55" s="23"/>
      <c r="M55" s="20"/>
      <c r="N55" s="19"/>
      <c r="O55" s="23"/>
    </row>
    <row r="56" spans="1:15">
      <c r="A56" s="19">
        <v>3</v>
      </c>
      <c r="B56" s="20"/>
      <c r="C56" s="21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4</v>
      </c>
      <c r="B57" s="20"/>
      <c r="C57" s="21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5</v>
      </c>
      <c r="B58" s="20"/>
      <c r="C58" s="21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6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7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8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9</v>
      </c>
      <c r="B62" s="20"/>
      <c r="C62" s="21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10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11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ht="30" customHeight="1" spans="1:15">
      <c r="A65" s="12" t="s">
        <v>80</v>
      </c>
      <c r="B65" s="13"/>
      <c r="C65" s="14"/>
      <c r="D65" s="15">
        <f t="shared" ref="D65:H65" si="12">SUM(D66:D76)</f>
        <v>0</v>
      </c>
      <c r="E65" s="16">
        <f t="shared" si="12"/>
        <v>0</v>
      </c>
      <c r="F65" s="14"/>
      <c r="G65" s="14"/>
      <c r="H65" s="16">
        <f t="shared" si="12"/>
        <v>0</v>
      </c>
      <c r="J65" s="14"/>
      <c r="K65" s="14"/>
      <c r="L65" s="16">
        <f>SUM(L66:L76)</f>
        <v>0</v>
      </c>
      <c r="M65" s="14"/>
      <c r="N65" s="14"/>
      <c r="O65" s="16"/>
    </row>
    <row r="66" spans="1:15">
      <c r="A66" s="19">
        <v>1</v>
      </c>
      <c r="B66" s="20"/>
      <c r="C66" s="21"/>
      <c r="D66" s="22"/>
      <c r="E66" s="23"/>
      <c r="F66" s="24"/>
      <c r="G66" s="19"/>
      <c r="H66" s="19"/>
      <c r="J66" s="40"/>
      <c r="K66" s="19"/>
      <c r="L66" s="23"/>
      <c r="M66" s="40"/>
      <c r="N66" s="19"/>
      <c r="O66" s="23"/>
    </row>
    <row r="67" spans="1:15">
      <c r="A67" s="19">
        <v>2</v>
      </c>
      <c r="B67" s="20"/>
      <c r="C67" s="21"/>
      <c r="D67" s="22"/>
      <c r="E67" s="23"/>
      <c r="F67" s="19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3</v>
      </c>
      <c r="B68" s="20"/>
      <c r="C68" s="21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4</v>
      </c>
      <c r="B69" s="20"/>
      <c r="C69" s="21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5</v>
      </c>
      <c r="B70" s="20"/>
      <c r="C70" s="21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6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7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8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9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10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11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ht="30" customHeight="1" spans="1:15">
      <c r="A77" s="12" t="s">
        <v>82</v>
      </c>
      <c r="B77" s="13"/>
      <c r="C77" s="14"/>
      <c r="D77" s="15">
        <f t="shared" ref="D77:H77" si="13">SUM(D78:D88)</f>
        <v>0</v>
      </c>
      <c r="E77" s="16">
        <f t="shared" si="13"/>
        <v>0</v>
      </c>
      <c r="F77" s="14"/>
      <c r="G77" s="14"/>
      <c r="H77" s="16">
        <f t="shared" si="13"/>
        <v>0</v>
      </c>
      <c r="J77" s="14"/>
      <c r="K77" s="14"/>
      <c r="L77" s="16">
        <f>SUM(L78:L88)</f>
        <v>0</v>
      </c>
      <c r="M77" s="14"/>
      <c r="N77" s="14"/>
      <c r="O77" s="16"/>
    </row>
    <row r="78" spans="1:15">
      <c r="A78" s="19">
        <v>1</v>
      </c>
      <c r="B78" s="20"/>
      <c r="C78" s="21"/>
      <c r="D78" s="22"/>
      <c r="E78" s="23"/>
      <c r="F78" s="24"/>
      <c r="G78" s="19"/>
      <c r="H78" s="19"/>
      <c r="J78" s="40"/>
      <c r="K78" s="19"/>
      <c r="L78" s="23"/>
      <c r="M78" s="40"/>
      <c r="N78" s="19"/>
      <c r="O78" s="23"/>
    </row>
    <row r="79" spans="1:15">
      <c r="A79" s="19">
        <v>2</v>
      </c>
      <c r="B79" s="20"/>
      <c r="C79" s="21"/>
      <c r="D79" s="22"/>
      <c r="E79" s="23"/>
      <c r="F79" s="19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3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4</v>
      </c>
      <c r="B81" s="20"/>
      <c r="C81" s="21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5</v>
      </c>
      <c r="B82" s="20"/>
      <c r="C82" s="21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6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7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8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9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10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11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ht="30" customHeight="1" spans="1:15">
      <c r="A89" s="12" t="s">
        <v>83</v>
      </c>
      <c r="B89" s="13"/>
      <c r="C89" s="14"/>
      <c r="D89" s="15">
        <f t="shared" ref="D89:H89" si="14">SUM(D90:D100)</f>
        <v>0</v>
      </c>
      <c r="E89" s="16">
        <f t="shared" si="14"/>
        <v>0</v>
      </c>
      <c r="F89" s="14"/>
      <c r="G89" s="14"/>
      <c r="H89" s="16">
        <f t="shared" si="14"/>
        <v>0</v>
      </c>
      <c r="J89" s="14"/>
      <c r="K89" s="14"/>
      <c r="L89" s="16">
        <f>SUM(L90:L100)</f>
        <v>0</v>
      </c>
      <c r="M89" s="14"/>
      <c r="N89" s="14"/>
      <c r="O89" s="16"/>
    </row>
    <row r="90" spans="1:15">
      <c r="A90" s="19">
        <v>1</v>
      </c>
      <c r="B90" s="20"/>
      <c r="C90" s="21"/>
      <c r="D90" s="22"/>
      <c r="E90" s="23"/>
      <c r="F90" s="24"/>
      <c r="G90" s="19"/>
      <c r="H90" s="19"/>
      <c r="J90" s="40"/>
      <c r="K90" s="19"/>
      <c r="L90" s="23"/>
      <c r="M90" s="40"/>
      <c r="N90" s="19"/>
      <c r="O90" s="23"/>
    </row>
    <row r="91" spans="1:15">
      <c r="A91" s="19">
        <v>2</v>
      </c>
      <c r="B91" s="20"/>
      <c r="C91" s="21"/>
      <c r="D91" s="22"/>
      <c r="E91" s="23"/>
      <c r="F91" s="19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3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4</v>
      </c>
      <c r="B93" s="20"/>
      <c r="C93" s="21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5</v>
      </c>
      <c r="B94" s="20"/>
      <c r="C94" s="21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6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7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8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9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10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11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ht="30" customHeight="1" spans="1:15">
      <c r="A101" s="12" t="s">
        <v>84</v>
      </c>
      <c r="B101" s="13"/>
      <c r="C101" s="14"/>
      <c r="D101" s="15">
        <f t="shared" ref="D101:H101" si="15">SUM(D102:D112)</f>
        <v>0</v>
      </c>
      <c r="E101" s="16">
        <f t="shared" si="15"/>
        <v>0</v>
      </c>
      <c r="F101" s="14"/>
      <c r="G101" s="14"/>
      <c r="H101" s="16">
        <f t="shared" si="15"/>
        <v>0</v>
      </c>
      <c r="J101" s="14"/>
      <c r="K101" s="14"/>
      <c r="L101" s="16">
        <f>SUM(L102:L112)</f>
        <v>0</v>
      </c>
      <c r="M101" s="14"/>
      <c r="N101" s="14"/>
      <c r="O101" s="16"/>
    </row>
    <row r="102" spans="1:15">
      <c r="A102" s="19">
        <v>1</v>
      </c>
      <c r="B102" s="20"/>
      <c r="C102" s="21"/>
      <c r="D102" s="22"/>
      <c r="E102" s="23"/>
      <c r="F102" s="24"/>
      <c r="G102" s="19"/>
      <c r="H102" s="19"/>
      <c r="J102" s="40"/>
      <c r="K102" s="19"/>
      <c r="L102" s="23"/>
      <c r="M102" s="40"/>
      <c r="N102" s="19"/>
      <c r="O102" s="23"/>
    </row>
    <row r="103" spans="1:15">
      <c r="A103" s="19">
        <v>2</v>
      </c>
      <c r="B103" s="20"/>
      <c r="C103" s="21"/>
      <c r="D103" s="22"/>
      <c r="E103" s="23"/>
      <c r="F103" s="19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3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4</v>
      </c>
      <c r="B105" s="20"/>
      <c r="C105" s="21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5</v>
      </c>
      <c r="B106" s="20"/>
      <c r="C106" s="21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6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7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8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9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10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11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ht="30" customHeight="1" spans="1:15">
      <c r="A113" s="12" t="s">
        <v>85</v>
      </c>
      <c r="B113" s="13"/>
      <c r="C113" s="14"/>
      <c r="D113" s="15">
        <f t="shared" ref="D113:H113" si="16">SUM(D114:D124)</f>
        <v>0</v>
      </c>
      <c r="E113" s="16">
        <f t="shared" si="16"/>
        <v>0</v>
      </c>
      <c r="F113" s="14"/>
      <c r="G113" s="14"/>
      <c r="H113" s="16">
        <f t="shared" si="16"/>
        <v>0</v>
      </c>
      <c r="J113" s="14"/>
      <c r="K113" s="14"/>
      <c r="L113" s="16">
        <f>SUM(L114:L124)</f>
        <v>0</v>
      </c>
      <c r="M113" s="14"/>
      <c r="N113" s="14"/>
      <c r="O113" s="16"/>
    </row>
    <row r="114" spans="1:15">
      <c r="A114" s="19">
        <v>1</v>
      </c>
      <c r="B114" s="20"/>
      <c r="C114" s="21"/>
      <c r="D114" s="22"/>
      <c r="E114" s="23"/>
      <c r="F114" s="24"/>
      <c r="G114" s="19"/>
      <c r="H114" s="19"/>
      <c r="J114" s="40"/>
      <c r="K114" s="19"/>
      <c r="L114" s="23"/>
      <c r="M114" s="40"/>
      <c r="N114" s="19"/>
      <c r="O114" s="23"/>
    </row>
    <row r="115" spans="1:15">
      <c r="A115" s="19">
        <v>2</v>
      </c>
      <c r="B115" s="20"/>
      <c r="C115" s="21"/>
      <c r="D115" s="22"/>
      <c r="E115" s="23"/>
      <c r="F115" s="19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3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4</v>
      </c>
      <c r="B117" s="20"/>
      <c r="C117" s="21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5</v>
      </c>
      <c r="B118" s="20"/>
      <c r="C118" s="21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6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7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8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9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10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11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ht="30" customHeight="1" spans="1:15">
      <c r="A125" s="12" t="s">
        <v>86</v>
      </c>
      <c r="B125" s="13"/>
      <c r="C125" s="14"/>
      <c r="D125" s="15">
        <f t="shared" ref="D125:H125" si="17">SUM(D126:D136)</f>
        <v>0</v>
      </c>
      <c r="E125" s="16">
        <f t="shared" si="17"/>
        <v>0</v>
      </c>
      <c r="F125" s="14"/>
      <c r="G125" s="14"/>
      <c r="H125" s="16">
        <f t="shared" si="17"/>
        <v>0</v>
      </c>
      <c r="J125" s="14"/>
      <c r="K125" s="14"/>
      <c r="L125" s="16">
        <f>SUM(L126:L136)</f>
        <v>0</v>
      </c>
      <c r="M125" s="14"/>
      <c r="N125" s="14"/>
      <c r="O125" s="16"/>
    </row>
    <row r="126" spans="1:15">
      <c r="A126" s="19">
        <v>1</v>
      </c>
      <c r="B126" s="20"/>
      <c r="C126" s="21"/>
      <c r="D126" s="22"/>
      <c r="E126" s="23"/>
      <c r="F126" s="24"/>
      <c r="G126" s="19"/>
      <c r="H126" s="19"/>
      <c r="J126" s="40"/>
      <c r="K126" s="19"/>
      <c r="L126" s="23"/>
      <c r="M126" s="40"/>
      <c r="N126" s="19"/>
      <c r="O126" s="23"/>
    </row>
    <row r="127" spans="1:15">
      <c r="A127" s="19">
        <v>2</v>
      </c>
      <c r="B127" s="20"/>
      <c r="C127" s="21"/>
      <c r="D127" s="22"/>
      <c r="E127" s="23"/>
      <c r="F127" s="19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3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4</v>
      </c>
      <c r="B129" s="20"/>
      <c r="C129" s="21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5</v>
      </c>
      <c r="B130" s="20"/>
      <c r="C130" s="21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6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7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8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9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10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11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ht="30" customHeight="1" spans="1:15">
      <c r="A137" s="12" t="s">
        <v>87</v>
      </c>
      <c r="B137" s="13"/>
      <c r="C137" s="14"/>
      <c r="D137" s="15">
        <f t="shared" ref="D137:H137" si="18">SUM(D138:D148)</f>
        <v>0</v>
      </c>
      <c r="E137" s="16">
        <f t="shared" si="18"/>
        <v>0</v>
      </c>
      <c r="F137" s="14"/>
      <c r="G137" s="14"/>
      <c r="H137" s="16">
        <f t="shared" si="18"/>
        <v>0</v>
      </c>
      <c r="J137" s="14"/>
      <c r="K137" s="14"/>
      <c r="L137" s="16">
        <f>SUM(L138:L148)</f>
        <v>0</v>
      </c>
      <c r="M137" s="14"/>
      <c r="N137" s="14"/>
      <c r="O137" s="16"/>
    </row>
    <row r="138" spans="1:15">
      <c r="A138" s="19">
        <v>1</v>
      </c>
      <c r="B138" s="20"/>
      <c r="C138" s="21"/>
      <c r="D138" s="22"/>
      <c r="E138" s="23"/>
      <c r="F138" s="24"/>
      <c r="G138" s="19"/>
      <c r="H138" s="19"/>
      <c r="J138" s="40"/>
      <c r="K138" s="19"/>
      <c r="L138" s="23"/>
      <c r="M138" s="40"/>
      <c r="N138" s="19"/>
      <c r="O138" s="23"/>
    </row>
    <row r="139" spans="1:15">
      <c r="A139" s="19">
        <v>2</v>
      </c>
      <c r="B139" s="20"/>
      <c r="C139" s="21"/>
      <c r="D139" s="22"/>
      <c r="E139" s="23"/>
      <c r="F139" s="19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3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4</v>
      </c>
      <c r="B141" s="20"/>
      <c r="C141" s="21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5</v>
      </c>
      <c r="B142" s="20"/>
      <c r="C142" s="21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6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7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8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9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10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11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N7 N19 G20 N28 G9:G16 G34:G40 G49:G52 G54:G64 G66:G76 G78:G88 G90:G100 G102:G112 G114:G124 G126:G136 G138:G148 N11:N16 N30:N40 N42:N52 N54:N64 N66:N76 N78:N88 N90:N100 N102:N112 N114:N124 N126:N136 N138:N148">
      <formula1>"王,娟,敏,蕾,佩,松"</formula1>
    </dataValidation>
    <dataValidation type="list" allowBlank="1" showInputMessage="1" showErrorMessage="1" sqref="F16 F40 F52 F64 F76 F88 F100 F112 F124 F136 F148">
      <formula1>"小猪,蚂蚁,BNB,途家,闲鱼"</formula1>
    </dataValidation>
    <dataValidation type="list" allowBlank="1" showInputMessage="1" showErrorMessage="1" sqref="F42 F30:F33">
      <formula1>"小猪,蚂蚁,BNB,途家,闲鱼,线下"</formula1>
    </dataValidation>
    <dataValidation type="list" allowBlank="1" showInputMessage="1" sqref="F6:F15 F34:F39 F49:F51 F54:F63 F66:F75 F78:F87 F90:F99 F102:F111 F114:F123 F126:F135 F138:F147">
      <formula1>"小猪,蚂蚁,BNB,途家,闲鱼,线下"</formula1>
    </dataValidation>
    <dataValidation type="list" allowBlank="1" showInputMessage="1" sqref="F18:F19 F21:F28 F43:F48">
      <formula1>"小猪,蚂蚁,BNB,途家,闲鱼"</formula1>
    </dataValidation>
    <dataValidation type="list" allowBlank="1" showInputMessage="1" showErrorMessage="1" sqref="G6:G8 G18:G19 G21:G28 G30:G33 G42:G48 M6:M10 M18:M27">
      <formula1>"王,娟,蕾,敏,佩,松"</formula1>
    </dataValidation>
    <dataValidation type="list" allowBlank="1" showInputMessage="1" showErrorMessage="1" sqref="K6:K16 K18:K28 K30:K40 K42:K52 K54:K64 K66:K76 K78:K88 K90:K100 K102:K112 K114:K124 K126:K136 K138:K148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0"/>
  </sheetPr>
  <dimension ref="A1:W148"/>
  <sheetViews>
    <sheetView workbookViewId="0">
      <pane xSplit="1" ySplit="4" topLeftCell="B42" activePane="bottomRight" state="frozen"/>
      <selection/>
      <selection pane="topRight"/>
      <selection pane="bottomLeft"/>
      <selection pane="bottomRight" activeCell="C49" sqref="C49"/>
    </sheetView>
  </sheetViews>
  <sheetFormatPr defaultColWidth="9" defaultRowHeight="15"/>
  <cols>
    <col min="1" max="1" width="6" style="2" customWidth="1"/>
    <col min="2" max="2" width="10" style="64" customWidth="1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3.875" customWidth="1"/>
    <col min="17" max="17" width="5.625"/>
    <col min="18" max="18" width="6.375"/>
    <col min="19" max="19" width="5.625"/>
    <col min="20" max="20" width="7.41666666666667" customWidth="1"/>
    <col min="21" max="21" width="5.625"/>
    <col min="22" max="22" width="8.375"/>
    <col min="23" max="23" width="5.625"/>
  </cols>
  <sheetData>
    <row r="1" s="4" customFormat="1" ht="39" customHeight="1" spans="1:23">
      <c r="A1" s="6" t="s">
        <v>165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65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66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66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67"/>
      <c r="C5" s="14"/>
      <c r="D5" s="15">
        <f t="shared" ref="D5:H5" si="0">SUM(D6:D16)</f>
        <v>5</v>
      </c>
      <c r="E5" s="16">
        <f t="shared" si="0"/>
        <v>1215</v>
      </c>
      <c r="F5" s="14"/>
      <c r="G5" s="17"/>
      <c r="H5" s="18">
        <f t="shared" si="0"/>
        <v>60.8</v>
      </c>
      <c r="J5" s="14"/>
      <c r="K5" s="14"/>
      <c r="L5" s="16">
        <f>SUM(L6:L16)</f>
        <v>335</v>
      </c>
      <c r="M5" s="14"/>
      <c r="N5" s="14"/>
      <c r="O5" s="16">
        <f>E5-H5-L5</f>
        <v>819.2</v>
      </c>
      <c r="Q5" s="48"/>
      <c r="R5" s="48">
        <f>SUM(R6:R11)</f>
        <v>60.8</v>
      </c>
      <c r="S5" s="48"/>
      <c r="T5" s="49">
        <f>SUM(T6:T11)</f>
        <v>335</v>
      </c>
      <c r="U5" s="48"/>
      <c r="V5" s="48"/>
      <c r="W5" s="50"/>
    </row>
    <row r="6" spans="1:23">
      <c r="A6" s="19">
        <v>1</v>
      </c>
      <c r="B6" s="20"/>
      <c r="C6" s="21"/>
      <c r="D6" s="22"/>
      <c r="E6" s="23"/>
      <c r="F6" s="53"/>
      <c r="G6" s="19"/>
      <c r="H6" s="19"/>
      <c r="J6" s="40">
        <v>43105</v>
      </c>
      <c r="K6" s="19" t="s">
        <v>26</v>
      </c>
      <c r="L6" s="23">
        <v>90</v>
      </c>
      <c r="M6" s="19" t="s">
        <v>27</v>
      </c>
      <c r="N6" s="41">
        <v>1.7</v>
      </c>
      <c r="O6" s="23"/>
      <c r="Q6" s="48" t="s">
        <v>27</v>
      </c>
      <c r="R6" s="48">
        <f>SUMIF(G6:G16,Q6,H6:H16)</f>
        <v>26</v>
      </c>
      <c r="S6" s="48" t="s">
        <v>26</v>
      </c>
      <c r="T6" s="48">
        <f>SUMIF(K6:K16,S6,L6:L16)</f>
        <v>270</v>
      </c>
      <c r="U6" s="48" t="s">
        <v>28</v>
      </c>
      <c r="V6" s="48">
        <f>O5</f>
        <v>819.2</v>
      </c>
      <c r="W6" s="50"/>
    </row>
    <row r="7" spans="1:23">
      <c r="A7" s="19">
        <v>2</v>
      </c>
      <c r="B7" s="74">
        <v>43102</v>
      </c>
      <c r="C7" s="21">
        <v>1.6</v>
      </c>
      <c r="D7" s="22">
        <v>1</v>
      </c>
      <c r="E7" s="23">
        <v>259.2</v>
      </c>
      <c r="F7" s="24" t="s">
        <v>57</v>
      </c>
      <c r="G7" s="19" t="s">
        <v>27</v>
      </c>
      <c r="H7" s="25">
        <f t="shared" ref="H7:H9" si="1">ROUND(E7*0.05,1)</f>
        <v>13</v>
      </c>
      <c r="J7" s="20">
        <v>43111</v>
      </c>
      <c r="K7" s="19" t="s">
        <v>26</v>
      </c>
      <c r="L7" s="23">
        <v>90</v>
      </c>
      <c r="M7" s="19" t="s">
        <v>27</v>
      </c>
      <c r="N7" s="41">
        <v>1.12</v>
      </c>
      <c r="O7" s="23"/>
      <c r="Q7" s="48" t="s">
        <v>25</v>
      </c>
      <c r="R7" s="48">
        <f>SUMIF(G6:G16,Q7,H6:H16)</f>
        <v>34.8</v>
      </c>
      <c r="S7" s="48" t="s">
        <v>29</v>
      </c>
      <c r="T7" s="48">
        <f>SUMIF(K6:K16,S7,L6:L16)</f>
        <v>65</v>
      </c>
      <c r="U7" s="48" t="s">
        <v>150</v>
      </c>
      <c r="V7" s="49">
        <f>ROUND($V$6*W7,1)</f>
        <v>573.4</v>
      </c>
      <c r="W7" s="51">
        <v>0.7</v>
      </c>
    </row>
    <row r="8" spans="1:23">
      <c r="A8" s="19">
        <v>3</v>
      </c>
      <c r="B8" s="20">
        <v>43110</v>
      </c>
      <c r="C8" s="21">
        <v>1.11</v>
      </c>
      <c r="D8" s="22">
        <v>1</v>
      </c>
      <c r="E8" s="23">
        <v>259.2</v>
      </c>
      <c r="F8" s="26" t="s">
        <v>24</v>
      </c>
      <c r="G8" s="19" t="s">
        <v>27</v>
      </c>
      <c r="H8" s="25">
        <f t="shared" si="1"/>
        <v>13</v>
      </c>
      <c r="J8" s="20">
        <v>43126</v>
      </c>
      <c r="K8" s="19" t="s">
        <v>26</v>
      </c>
      <c r="L8" s="23">
        <v>90</v>
      </c>
      <c r="M8" s="19" t="s">
        <v>27</v>
      </c>
      <c r="N8" s="41">
        <v>1.29</v>
      </c>
      <c r="O8" s="23"/>
      <c r="Q8" s="48" t="s">
        <v>32</v>
      </c>
      <c r="R8" s="48">
        <f>SUMIF(G6:G16,Q8,H6:H16)</f>
        <v>0</v>
      </c>
      <c r="S8" s="48" t="s">
        <v>33</v>
      </c>
      <c r="T8" s="48"/>
      <c r="U8" s="48" t="s">
        <v>117</v>
      </c>
      <c r="V8" s="49">
        <f>ROUND($V$6*W8,1)</f>
        <v>245.8</v>
      </c>
      <c r="W8" s="51">
        <v>0.3</v>
      </c>
    </row>
    <row r="9" spans="1:23">
      <c r="A9" s="19">
        <v>4</v>
      </c>
      <c r="B9" s="20">
        <v>43126</v>
      </c>
      <c r="C9" s="21" t="s">
        <v>166</v>
      </c>
      <c r="D9" s="22">
        <v>3</v>
      </c>
      <c r="E9" s="23">
        <v>696.6</v>
      </c>
      <c r="F9" s="24" t="s">
        <v>46</v>
      </c>
      <c r="G9" s="19" t="s">
        <v>25</v>
      </c>
      <c r="H9" s="25">
        <f t="shared" si="1"/>
        <v>34.8</v>
      </c>
      <c r="J9" s="20">
        <v>43131</v>
      </c>
      <c r="K9" s="19" t="s">
        <v>29</v>
      </c>
      <c r="L9" s="23">
        <v>65</v>
      </c>
      <c r="M9" s="19" t="s">
        <v>30</v>
      </c>
      <c r="N9" s="41" t="s">
        <v>48</v>
      </c>
      <c r="O9" s="23"/>
      <c r="Q9" s="48" t="s">
        <v>35</v>
      </c>
      <c r="R9" s="48">
        <f>SUMIF(G6:G16,Q9,H6:H16)</f>
        <v>0</v>
      </c>
      <c r="S9" s="48" t="s">
        <v>36</v>
      </c>
      <c r="T9" s="48"/>
      <c r="U9" s="48"/>
      <c r="V9" s="52"/>
      <c r="W9" s="51"/>
    </row>
    <row r="10" spans="1:23">
      <c r="A10" s="19">
        <v>5</v>
      </c>
      <c r="B10" s="20"/>
      <c r="C10" s="21"/>
      <c r="D10" s="22"/>
      <c r="E10" s="23"/>
      <c r="F10" s="53"/>
      <c r="G10" s="19"/>
      <c r="H10" s="25"/>
      <c r="J10" s="20"/>
      <c r="K10" s="19"/>
      <c r="L10" s="23"/>
      <c r="M10" s="20"/>
      <c r="N10" s="19"/>
      <c r="O10" s="23"/>
      <c r="Q10" s="48" t="s">
        <v>30</v>
      </c>
      <c r="R10" s="48">
        <f>SUMIF(G6:G16,Q10,H6:H16)</f>
        <v>0</v>
      </c>
      <c r="S10" s="48" t="s">
        <v>38</v>
      </c>
      <c r="T10" s="48"/>
      <c r="U10" s="48"/>
      <c r="V10" s="52"/>
      <c r="W10" s="51"/>
    </row>
    <row r="11" spans="1:23">
      <c r="A11" s="19">
        <v>6</v>
      </c>
      <c r="B11" s="20"/>
      <c r="C11" s="21"/>
      <c r="D11" s="22"/>
      <c r="E11" s="23"/>
      <c r="F11" s="24"/>
      <c r="G11" s="58"/>
      <c r="H11" s="58"/>
      <c r="J11" s="20"/>
      <c r="K11" s="19"/>
      <c r="L11" s="23"/>
      <c r="M11" s="20"/>
      <c r="N11" s="19"/>
      <c r="O11" s="23"/>
      <c r="Q11" s="48" t="s">
        <v>39</v>
      </c>
      <c r="R11" s="48">
        <f>SUMIF(G6:G16,Q11,H6:H16)</f>
        <v>0</v>
      </c>
      <c r="S11" s="48" t="s">
        <v>40</v>
      </c>
      <c r="T11" s="48"/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19"/>
      <c r="J12" s="20"/>
      <c r="K12" s="19"/>
      <c r="L12" s="23"/>
      <c r="M12" s="20"/>
      <c r="N12" s="19"/>
      <c r="O12" s="23"/>
    </row>
    <row r="13" spans="1:15">
      <c r="A13" s="19">
        <v>8</v>
      </c>
      <c r="B13" s="20"/>
      <c r="C13" s="21"/>
      <c r="D13" s="22"/>
      <c r="E13" s="23"/>
      <c r="F13" s="24"/>
      <c r="G13" s="19"/>
      <c r="H13" s="19"/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2"/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19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19"/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67"/>
      <c r="C17" s="14"/>
      <c r="D17" s="15">
        <f t="shared" ref="D17:H17" si="2">SUM(D18:D28)</f>
        <v>14</v>
      </c>
      <c r="E17" s="16">
        <f t="shared" si="2"/>
        <v>5436.81</v>
      </c>
      <c r="F17" s="14"/>
      <c r="G17" s="14"/>
      <c r="H17" s="16">
        <f t="shared" si="2"/>
        <v>271.9</v>
      </c>
      <c r="J17" s="14"/>
      <c r="K17" s="14"/>
      <c r="L17" s="16">
        <f>SUM(L18:L28)</f>
        <v>1395.4</v>
      </c>
      <c r="M17" s="14"/>
      <c r="N17" s="14"/>
      <c r="O17" s="16">
        <f>E17-H17-L17</f>
        <v>3769.51</v>
      </c>
      <c r="Q17" s="48"/>
      <c r="R17" s="48">
        <f>SUM(R18:R23)</f>
        <v>271.9</v>
      </c>
      <c r="S17" s="48"/>
      <c r="T17" s="49">
        <f>SUM(T18:T23)</f>
        <v>1395.4</v>
      </c>
      <c r="U17" s="48"/>
      <c r="V17" s="48"/>
      <c r="W17" s="50"/>
    </row>
    <row r="18" spans="1:23">
      <c r="A18" s="19">
        <v>1</v>
      </c>
      <c r="B18" s="20"/>
      <c r="C18" s="21"/>
      <c r="D18" s="22"/>
      <c r="E18" s="55"/>
      <c r="F18" s="53"/>
      <c r="G18" s="19"/>
      <c r="H18" s="25"/>
      <c r="J18" s="40">
        <v>43137</v>
      </c>
      <c r="K18" s="19" t="s">
        <v>29</v>
      </c>
      <c r="L18" s="23">
        <v>500</v>
      </c>
      <c r="M18" s="19" t="s">
        <v>30</v>
      </c>
      <c r="N18" s="41" t="s">
        <v>167</v>
      </c>
      <c r="O18" s="23"/>
      <c r="Q18" s="48" t="s">
        <v>27</v>
      </c>
      <c r="R18" s="48">
        <f>SUMIF(G18:G28,Q18,H18:H28)</f>
        <v>190.6</v>
      </c>
      <c r="S18" s="48" t="s">
        <v>26</v>
      </c>
      <c r="T18" s="48">
        <f>SUMIF(K18:K28,S18,L18:L28)</f>
        <v>810</v>
      </c>
      <c r="U18" s="48" t="s">
        <v>28</v>
      </c>
      <c r="V18" s="48">
        <f>O17</f>
        <v>3769.51</v>
      </c>
      <c r="W18" s="50"/>
    </row>
    <row r="19" spans="1:23">
      <c r="A19" s="19">
        <v>2</v>
      </c>
      <c r="B19" s="20">
        <v>43118</v>
      </c>
      <c r="C19" s="21" t="s">
        <v>168</v>
      </c>
      <c r="D19" s="22">
        <v>6</v>
      </c>
      <c r="E19" s="22">
        <v>1625.61</v>
      </c>
      <c r="F19" s="24" t="s">
        <v>43</v>
      </c>
      <c r="G19" s="19" t="s">
        <v>32</v>
      </c>
      <c r="H19" s="25">
        <v>81.3</v>
      </c>
      <c r="J19" s="20">
        <v>43147</v>
      </c>
      <c r="K19" s="19" t="s">
        <v>26</v>
      </c>
      <c r="L19" s="23">
        <v>180</v>
      </c>
      <c r="M19" s="19" t="s">
        <v>32</v>
      </c>
      <c r="N19" s="41" t="s">
        <v>56</v>
      </c>
      <c r="O19" s="23"/>
      <c r="Q19" s="48" t="s">
        <v>25</v>
      </c>
      <c r="R19" s="48">
        <f>SUMIF(G18:G28,Q19,H18:H28)</f>
        <v>0</v>
      </c>
      <c r="S19" s="48" t="s">
        <v>29</v>
      </c>
      <c r="T19" s="48">
        <f>SUMIF(K18:K28,S19,L18:L28)</f>
        <v>500</v>
      </c>
      <c r="U19" s="48" t="s">
        <v>150</v>
      </c>
      <c r="V19" s="49">
        <f>ROUND(V18*W19,1)</f>
        <v>2638.7</v>
      </c>
      <c r="W19" s="51">
        <v>0.7</v>
      </c>
    </row>
    <row r="20" spans="1:23">
      <c r="A20" s="19">
        <v>3</v>
      </c>
      <c r="B20" s="20">
        <v>43142</v>
      </c>
      <c r="C20" s="21" t="s">
        <v>156</v>
      </c>
      <c r="D20" s="22">
        <v>2</v>
      </c>
      <c r="E20" s="23">
        <v>1170</v>
      </c>
      <c r="F20" s="24" t="s">
        <v>24</v>
      </c>
      <c r="G20" s="19" t="s">
        <v>27</v>
      </c>
      <c r="H20" s="25">
        <f t="shared" ref="H20:H25" si="3">ROUND(E20*0.05,1)</f>
        <v>58.5</v>
      </c>
      <c r="J20" s="20">
        <v>43150</v>
      </c>
      <c r="K20" s="19" t="s">
        <v>33</v>
      </c>
      <c r="L20" s="23">
        <v>14</v>
      </c>
      <c r="M20" s="19" t="s">
        <v>32</v>
      </c>
      <c r="N20" s="41" t="s">
        <v>169</v>
      </c>
      <c r="O20" s="23"/>
      <c r="Q20" s="48" t="s">
        <v>32</v>
      </c>
      <c r="R20" s="48">
        <f>SUMIF(G18:G28,Q20,H18:H28)</f>
        <v>81.3</v>
      </c>
      <c r="S20" s="48" t="s">
        <v>33</v>
      </c>
      <c r="T20" s="48">
        <f>SUMIF(K18:K28,S20,L18:L28)</f>
        <v>85.4</v>
      </c>
      <c r="U20" s="48" t="s">
        <v>117</v>
      </c>
      <c r="V20" s="49">
        <f>ROUND(V18*W20,1)</f>
        <v>1130.9</v>
      </c>
      <c r="W20" s="51">
        <v>0.3</v>
      </c>
    </row>
    <row r="21" spans="1:23">
      <c r="A21" s="19">
        <v>4</v>
      </c>
      <c r="B21" s="20">
        <v>43149</v>
      </c>
      <c r="C21" s="21" t="s">
        <v>170</v>
      </c>
      <c r="D21" s="22">
        <v>2</v>
      </c>
      <c r="E21" s="23">
        <v>1170</v>
      </c>
      <c r="F21" s="24" t="s">
        <v>57</v>
      </c>
      <c r="G21" s="19" t="s">
        <v>27</v>
      </c>
      <c r="H21" s="25">
        <f t="shared" si="3"/>
        <v>58.5</v>
      </c>
      <c r="J21" s="20">
        <v>43150</v>
      </c>
      <c r="K21" s="19" t="s">
        <v>26</v>
      </c>
      <c r="L21" s="23">
        <v>180</v>
      </c>
      <c r="M21" s="19" t="s">
        <v>32</v>
      </c>
      <c r="N21" s="41" t="s">
        <v>56</v>
      </c>
      <c r="O21" s="23"/>
      <c r="Q21" s="48" t="s">
        <v>35</v>
      </c>
      <c r="R21" s="48">
        <f>SUMIF(G18:G28,Q21,H18:H28)</f>
        <v>0</v>
      </c>
      <c r="S21" s="48" t="s">
        <v>36</v>
      </c>
      <c r="T21" s="48"/>
      <c r="U21" s="48"/>
      <c r="V21" s="52"/>
      <c r="W21" s="51"/>
    </row>
    <row r="22" spans="1:23">
      <c r="A22" s="19">
        <v>5</v>
      </c>
      <c r="B22" s="20">
        <v>43150</v>
      </c>
      <c r="C22" s="21">
        <v>2.19</v>
      </c>
      <c r="D22" s="22">
        <v>1</v>
      </c>
      <c r="E22" s="23">
        <v>585</v>
      </c>
      <c r="F22" s="24" t="s">
        <v>24</v>
      </c>
      <c r="G22" s="19" t="s">
        <v>27</v>
      </c>
      <c r="H22" s="25">
        <f t="shared" si="3"/>
        <v>29.3</v>
      </c>
      <c r="J22" s="20">
        <v>43151</v>
      </c>
      <c r="K22" s="19" t="s">
        <v>26</v>
      </c>
      <c r="L22" s="23">
        <v>180</v>
      </c>
      <c r="M22" s="19" t="s">
        <v>32</v>
      </c>
      <c r="N22" s="41" t="s">
        <v>56</v>
      </c>
      <c r="O22" s="23"/>
      <c r="Q22" s="48" t="s">
        <v>30</v>
      </c>
      <c r="R22" s="48">
        <f>SUMIF(G18:G28,Q22,H18:H28)</f>
        <v>0</v>
      </c>
      <c r="S22" s="48" t="s">
        <v>38</v>
      </c>
      <c r="T22" s="48"/>
      <c r="U22" s="48"/>
      <c r="V22" s="52"/>
      <c r="W22" s="51"/>
    </row>
    <row r="23" spans="1:23">
      <c r="A23" s="19">
        <v>6</v>
      </c>
      <c r="B23" s="20">
        <v>43152</v>
      </c>
      <c r="C23" s="21">
        <v>2.22</v>
      </c>
      <c r="D23" s="22">
        <v>1</v>
      </c>
      <c r="E23" s="23">
        <v>400</v>
      </c>
      <c r="F23" s="24" t="s">
        <v>37</v>
      </c>
      <c r="G23" s="19" t="s">
        <v>27</v>
      </c>
      <c r="H23" s="25">
        <f t="shared" si="3"/>
        <v>20</v>
      </c>
      <c r="J23" s="20">
        <v>43155</v>
      </c>
      <c r="K23" s="19" t="s">
        <v>33</v>
      </c>
      <c r="L23" s="23">
        <v>71.4</v>
      </c>
      <c r="M23" s="19" t="s">
        <v>32</v>
      </c>
      <c r="N23" s="41" t="s">
        <v>171</v>
      </c>
      <c r="O23" s="23"/>
      <c r="Q23" s="48" t="s">
        <v>39</v>
      </c>
      <c r="R23" s="48">
        <f>SUMIF(G18:G28,Q23,H18:H28)</f>
        <v>0</v>
      </c>
      <c r="S23" s="48" t="s">
        <v>40</v>
      </c>
      <c r="T23" s="48"/>
      <c r="U23" s="48"/>
      <c r="V23" s="48"/>
      <c r="W23" s="50"/>
    </row>
    <row r="24" spans="1:15">
      <c r="A24" s="19">
        <v>7</v>
      </c>
      <c r="B24" s="20">
        <v>43154</v>
      </c>
      <c r="C24" s="21">
        <v>2.23</v>
      </c>
      <c r="D24" s="22">
        <v>1</v>
      </c>
      <c r="E24" s="23">
        <v>200</v>
      </c>
      <c r="F24" s="24" t="s">
        <v>37</v>
      </c>
      <c r="G24" s="19" t="s">
        <v>27</v>
      </c>
      <c r="H24" s="25">
        <f t="shared" si="3"/>
        <v>10</v>
      </c>
      <c r="J24" s="20">
        <v>43155</v>
      </c>
      <c r="K24" s="19" t="s">
        <v>26</v>
      </c>
      <c r="L24" s="23">
        <f>90*1.5</f>
        <v>135</v>
      </c>
      <c r="M24" s="19" t="s">
        <v>32</v>
      </c>
      <c r="N24" s="41" t="s">
        <v>56</v>
      </c>
      <c r="O24" s="23"/>
    </row>
    <row r="25" spans="1:15">
      <c r="A25" s="19">
        <v>8</v>
      </c>
      <c r="B25" s="20">
        <v>43155</v>
      </c>
      <c r="C25" s="21">
        <v>2.24</v>
      </c>
      <c r="D25" s="22">
        <v>1</v>
      </c>
      <c r="E25" s="23">
        <v>286.2</v>
      </c>
      <c r="F25" s="24" t="s">
        <v>24</v>
      </c>
      <c r="G25" s="19" t="s">
        <v>27</v>
      </c>
      <c r="H25" s="25">
        <f t="shared" si="3"/>
        <v>14.3</v>
      </c>
      <c r="J25" s="20">
        <v>43156</v>
      </c>
      <c r="K25" s="19" t="s">
        <v>26</v>
      </c>
      <c r="L25" s="23">
        <f>90*1.5</f>
        <v>135</v>
      </c>
      <c r="M25" s="19" t="s">
        <v>32</v>
      </c>
      <c r="N25" s="41" t="s">
        <v>56</v>
      </c>
      <c r="O25" s="23"/>
    </row>
    <row r="26" spans="1:15">
      <c r="A26" s="19">
        <v>9</v>
      </c>
      <c r="B26" s="20"/>
      <c r="C26" s="21"/>
      <c r="D26" s="22"/>
      <c r="E26" s="23"/>
      <c r="F26" s="24"/>
      <c r="G26" s="19"/>
      <c r="H26" s="25"/>
      <c r="J26" s="20"/>
      <c r="K26" s="19"/>
      <c r="L26" s="23"/>
      <c r="M26" s="20"/>
      <c r="N26" s="19"/>
      <c r="O26" s="23"/>
    </row>
    <row r="27" spans="1:15">
      <c r="A27" s="19">
        <v>10</v>
      </c>
      <c r="B27" s="20"/>
      <c r="C27" s="21"/>
      <c r="D27" s="22"/>
      <c r="E27" s="23"/>
      <c r="F27" s="24"/>
      <c r="G27" s="19"/>
      <c r="H27" s="19"/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1"/>
      <c r="D28" s="22"/>
      <c r="E28" s="23"/>
      <c r="F28" s="24"/>
      <c r="G28" s="19"/>
      <c r="H28" s="19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67"/>
      <c r="C29" s="14"/>
      <c r="D29" s="15">
        <f t="shared" ref="D29:H29" si="4">SUM(D30:D40)</f>
        <v>11</v>
      </c>
      <c r="E29" s="16">
        <f t="shared" si="4"/>
        <v>2232.2</v>
      </c>
      <c r="F29" s="14"/>
      <c r="G29" s="14"/>
      <c r="H29" s="16">
        <f t="shared" si="4"/>
        <v>159.5</v>
      </c>
      <c r="J29" s="14"/>
      <c r="K29" s="14"/>
      <c r="L29" s="16">
        <f>SUM(L30:L40)</f>
        <v>248</v>
      </c>
      <c r="M29" s="14"/>
      <c r="N29" s="14"/>
      <c r="O29" s="16">
        <f>E29-H29-L29</f>
        <v>1824.7</v>
      </c>
      <c r="Q29" s="48"/>
      <c r="R29" s="48">
        <f>SUM(R30:R35)</f>
        <v>159.5</v>
      </c>
      <c r="S29" s="48"/>
      <c r="T29" s="49">
        <f>SUM(T30:T35)</f>
        <v>248</v>
      </c>
      <c r="U29" s="48"/>
      <c r="V29" s="48"/>
      <c r="W29" s="50"/>
    </row>
    <row r="30" spans="1:23">
      <c r="A30" s="19">
        <v>1</v>
      </c>
      <c r="B30" s="20">
        <v>43168</v>
      </c>
      <c r="C30" s="21" t="s">
        <v>172</v>
      </c>
      <c r="D30" s="22">
        <v>7</v>
      </c>
      <c r="E30" s="23">
        <v>1254.8</v>
      </c>
      <c r="F30" s="24" t="s">
        <v>161</v>
      </c>
      <c r="G30" s="19" t="s">
        <v>32</v>
      </c>
      <c r="H30" s="25">
        <f>ROUND(E30*0.05,1)</f>
        <v>62.7</v>
      </c>
      <c r="I30" s="25"/>
      <c r="J30" s="40">
        <v>43178</v>
      </c>
      <c r="K30" s="19" t="s">
        <v>29</v>
      </c>
      <c r="L30" s="23">
        <v>68</v>
      </c>
      <c r="M30" s="40" t="s">
        <v>32</v>
      </c>
      <c r="N30" s="19" t="s">
        <v>48</v>
      </c>
      <c r="O30" s="23"/>
      <c r="Q30" s="48" t="s">
        <v>27</v>
      </c>
      <c r="R30" s="73">
        <f>SUMIF(G30:G40,Q30,H30:H40)</f>
        <v>83.8</v>
      </c>
      <c r="S30" s="48" t="s">
        <v>26</v>
      </c>
      <c r="T30" s="48">
        <f>SUMIF(K30:K40,S30,L30:L40)</f>
        <v>180</v>
      </c>
      <c r="U30" s="48" t="s">
        <v>28</v>
      </c>
      <c r="V30" s="48">
        <f>O29</f>
        <v>1824.7</v>
      </c>
      <c r="W30" s="50"/>
    </row>
    <row r="31" spans="1:23">
      <c r="A31" s="19">
        <v>2</v>
      </c>
      <c r="B31" s="20">
        <v>43182</v>
      </c>
      <c r="C31" s="21">
        <v>3.24</v>
      </c>
      <c r="D31" s="22">
        <v>1</v>
      </c>
      <c r="E31" s="23">
        <v>259.2</v>
      </c>
      <c r="F31" s="19" t="s">
        <v>46</v>
      </c>
      <c r="G31" s="19" t="s">
        <v>25</v>
      </c>
      <c r="H31" s="19">
        <v>13</v>
      </c>
      <c r="J31" s="20">
        <v>43181</v>
      </c>
      <c r="K31" s="19" t="s">
        <v>26</v>
      </c>
      <c r="L31" s="23">
        <v>90</v>
      </c>
      <c r="M31" s="20" t="s">
        <v>32</v>
      </c>
      <c r="N31" s="19" t="s">
        <v>56</v>
      </c>
      <c r="O31" s="23"/>
      <c r="Q31" s="48" t="s">
        <v>25</v>
      </c>
      <c r="R31" s="73">
        <f>SUMIF(G30:G40,Q31,H30:H40)</f>
        <v>13</v>
      </c>
      <c r="S31" s="48" t="s">
        <v>29</v>
      </c>
      <c r="T31" s="48">
        <f>SUMIF(K30:K43,S31,L30:L43)</f>
        <v>68</v>
      </c>
      <c r="U31" s="48" t="s">
        <v>150</v>
      </c>
      <c r="V31" s="49">
        <f>ROUND(V30*W31,1)</f>
        <v>1277.3</v>
      </c>
      <c r="W31" s="51">
        <v>0.7</v>
      </c>
    </row>
    <row r="32" spans="1:23">
      <c r="A32" s="19">
        <v>3</v>
      </c>
      <c r="B32" s="20">
        <v>43188</v>
      </c>
      <c r="C32" s="21" t="s">
        <v>173</v>
      </c>
      <c r="D32" s="22">
        <v>3</v>
      </c>
      <c r="E32" s="23">
        <f>ROUND(1675.8/7*3,1)</f>
        <v>718.2</v>
      </c>
      <c r="F32" s="24" t="s">
        <v>24</v>
      </c>
      <c r="G32" s="19" t="s">
        <v>27</v>
      </c>
      <c r="H32" s="19">
        <v>83.8</v>
      </c>
      <c r="J32" s="20">
        <v>43184</v>
      </c>
      <c r="K32" s="19" t="s">
        <v>26</v>
      </c>
      <c r="L32" s="23">
        <v>90</v>
      </c>
      <c r="M32" s="20" t="s">
        <v>32</v>
      </c>
      <c r="N32" s="19" t="s">
        <v>56</v>
      </c>
      <c r="O32" s="23"/>
      <c r="Q32" s="48" t="s">
        <v>32</v>
      </c>
      <c r="R32" s="48">
        <f>SUMIF(G30:G40,Q32,H30:H40)</f>
        <v>62.7</v>
      </c>
      <c r="S32" s="48" t="s">
        <v>33</v>
      </c>
      <c r="T32" s="48">
        <f>SUMIF(K30:K43,S32,L30:L43)</f>
        <v>0</v>
      </c>
      <c r="U32" s="48" t="s">
        <v>117</v>
      </c>
      <c r="V32" s="49">
        <f>ROUND(V30*W32,1)</f>
        <v>547.4</v>
      </c>
      <c r="W32" s="51">
        <v>0.3</v>
      </c>
    </row>
    <row r="33" spans="1:23">
      <c r="A33" s="19">
        <v>4</v>
      </c>
      <c r="B33" s="20"/>
      <c r="C33" s="21"/>
      <c r="D33" s="22"/>
      <c r="E33" s="23"/>
      <c r="F33" s="24"/>
      <c r="G33" s="19"/>
      <c r="H33" s="19"/>
      <c r="J33" s="20"/>
      <c r="K33" s="19"/>
      <c r="L33" s="23"/>
      <c r="M33" s="20"/>
      <c r="N33" s="19"/>
      <c r="O33" s="23"/>
      <c r="Q33" s="48" t="s">
        <v>35</v>
      </c>
      <c r="R33" s="48">
        <f>SUMIF(G30:G40,Q33,H30:H40)</f>
        <v>0</v>
      </c>
      <c r="S33" s="48" t="s">
        <v>36</v>
      </c>
      <c r="T33" s="48">
        <f>SUMIF(K30:K40,S33,L30:L40)</f>
        <v>0</v>
      </c>
      <c r="U33" s="48"/>
      <c r="V33" s="52"/>
      <c r="W33" s="51"/>
    </row>
    <row r="34" spans="1:23">
      <c r="A34" s="19">
        <v>5</v>
      </c>
      <c r="B34" s="20"/>
      <c r="C34" s="21"/>
      <c r="D34" s="22"/>
      <c r="E34" s="23"/>
      <c r="F34" s="24"/>
      <c r="G34" s="19"/>
      <c r="H34" s="19"/>
      <c r="J34" s="20"/>
      <c r="K34" s="19"/>
      <c r="L34" s="23"/>
      <c r="M34" s="20"/>
      <c r="N34" s="19"/>
      <c r="O34" s="23"/>
      <c r="Q34" s="48" t="s">
        <v>30</v>
      </c>
      <c r="R34" s="48">
        <f>SUMIF(G30:G40,Q34,H30:H40)</f>
        <v>0</v>
      </c>
      <c r="S34" s="48" t="s">
        <v>38</v>
      </c>
      <c r="T34" s="48">
        <f>SUMIF(K30:K43,S34,L30:L43)</f>
        <v>0</v>
      </c>
      <c r="U34" s="48"/>
      <c r="V34" s="52"/>
      <c r="W34" s="51"/>
    </row>
    <row r="35" spans="1:23">
      <c r="A35" s="19">
        <v>6</v>
      </c>
      <c r="B35" s="20"/>
      <c r="C35" s="21"/>
      <c r="D35" s="22"/>
      <c r="E35" s="23"/>
      <c r="F35" s="24"/>
      <c r="G35" s="19"/>
      <c r="H35" s="19"/>
      <c r="J35" s="20"/>
      <c r="K35" s="19"/>
      <c r="L35" s="23"/>
      <c r="M35" s="20"/>
      <c r="N35" s="19"/>
      <c r="O35" s="23"/>
      <c r="Q35" s="48" t="s">
        <v>39</v>
      </c>
      <c r="R35" s="48">
        <f>SUMIF(G30:G40,Q35,H30:H40)</f>
        <v>0</v>
      </c>
      <c r="S35" s="48" t="s">
        <v>40</v>
      </c>
      <c r="T35" s="48">
        <f>SUMIF(K30:K43,S35,L30:L43)</f>
        <v>0</v>
      </c>
      <c r="U35" s="48"/>
      <c r="V35" s="48"/>
      <c r="W35" s="50"/>
    </row>
    <row r="36" spans="1:15">
      <c r="A36" s="19">
        <v>7</v>
      </c>
      <c r="B36" s="20"/>
      <c r="C36" s="21"/>
      <c r="D36" s="22"/>
      <c r="E36" s="23"/>
      <c r="F36" s="24"/>
      <c r="G36" s="19"/>
      <c r="H36" s="19"/>
      <c r="J36" s="20"/>
      <c r="K36" s="19"/>
      <c r="L36" s="23"/>
      <c r="M36" s="20"/>
      <c r="N36" s="19"/>
      <c r="O36" s="23"/>
    </row>
    <row r="37" spans="1:15">
      <c r="A37" s="19">
        <v>8</v>
      </c>
      <c r="B37" s="20"/>
      <c r="C37" s="21"/>
      <c r="D37" s="22"/>
      <c r="E37" s="23"/>
      <c r="F37" s="24"/>
      <c r="G37" s="19"/>
      <c r="H37" s="19"/>
      <c r="J37" s="20"/>
      <c r="K37" s="19"/>
      <c r="L37" s="23"/>
      <c r="M37" s="20"/>
      <c r="N37" s="19"/>
      <c r="O37" s="23"/>
    </row>
    <row r="38" spans="1:15">
      <c r="A38" s="19">
        <v>9</v>
      </c>
      <c r="B38" s="20"/>
      <c r="C38" s="21"/>
      <c r="D38" s="22"/>
      <c r="E38" s="23"/>
      <c r="F38" s="24"/>
      <c r="G38" s="19"/>
      <c r="H38" s="19"/>
      <c r="J38" s="20"/>
      <c r="K38" s="19"/>
      <c r="L38" s="23"/>
      <c r="M38" s="20"/>
      <c r="N38" s="19"/>
      <c r="O38" s="23"/>
    </row>
    <row r="39" spans="1:15">
      <c r="A39" s="19">
        <v>10</v>
      </c>
      <c r="B39" s="20"/>
      <c r="C39" s="21"/>
      <c r="D39" s="22"/>
      <c r="E39" s="23"/>
      <c r="F39" s="24"/>
      <c r="G39" s="19"/>
      <c r="H39" s="19"/>
      <c r="J39" s="20"/>
      <c r="K39" s="19"/>
      <c r="L39" s="23"/>
      <c r="M39" s="20"/>
      <c r="N39" s="19"/>
      <c r="O39" s="23"/>
    </row>
    <row r="40" spans="1:15">
      <c r="A40" s="19">
        <v>11</v>
      </c>
      <c r="B40" s="20"/>
      <c r="C40" s="21"/>
      <c r="D40" s="22"/>
      <c r="E40" s="23"/>
      <c r="F40" s="24"/>
      <c r="G40" s="19"/>
      <c r="H40" s="19"/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67"/>
      <c r="C41" s="14"/>
      <c r="D41" s="15">
        <f t="shared" ref="D41:H41" si="5">SUM(D42:D52)</f>
        <v>16</v>
      </c>
      <c r="E41" s="16">
        <f t="shared" si="5"/>
        <v>3767.5</v>
      </c>
      <c r="F41" s="14"/>
      <c r="G41" s="14"/>
      <c r="H41" s="16">
        <f t="shared" si="5"/>
        <v>224.3</v>
      </c>
      <c r="J41" s="14"/>
      <c r="K41" s="14"/>
      <c r="L41" s="16">
        <f>SUM(L42:L52)</f>
        <v>0</v>
      </c>
      <c r="M41" s="14"/>
      <c r="N41" s="14"/>
      <c r="O41" s="16"/>
    </row>
    <row r="42" spans="1:15">
      <c r="A42" s="19">
        <v>1</v>
      </c>
      <c r="B42" s="20">
        <v>43188</v>
      </c>
      <c r="C42" s="21" t="s">
        <v>174</v>
      </c>
      <c r="D42" s="22">
        <v>4</v>
      </c>
      <c r="E42" s="23">
        <f>ROUND(1675.8/7*4,1)</f>
        <v>957.6</v>
      </c>
      <c r="F42" s="24" t="s">
        <v>24</v>
      </c>
      <c r="G42" s="19" t="s">
        <v>27</v>
      </c>
      <c r="H42" s="19">
        <v>83.8</v>
      </c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43195</v>
      </c>
      <c r="C43" s="21" t="s">
        <v>175</v>
      </c>
      <c r="D43" s="22">
        <v>2</v>
      </c>
      <c r="E43" s="23">
        <v>560</v>
      </c>
      <c r="F43" s="24" t="s">
        <v>37</v>
      </c>
      <c r="G43" s="19" t="s">
        <v>27</v>
      </c>
      <c r="H43" s="25">
        <f t="shared" ref="H43:H48" si="6">ROUND(E43*0.05,1)</f>
        <v>28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>
        <v>43210</v>
      </c>
      <c r="C44" s="21" t="s">
        <v>176</v>
      </c>
      <c r="D44" s="22">
        <v>2</v>
      </c>
      <c r="E44" s="23">
        <v>518.4</v>
      </c>
      <c r="F44" s="24" t="s">
        <v>46</v>
      </c>
      <c r="G44" s="19" t="s">
        <v>25</v>
      </c>
      <c r="H44" s="25">
        <f t="shared" si="6"/>
        <v>25.9</v>
      </c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43211</v>
      </c>
      <c r="C45" s="21">
        <v>4.22</v>
      </c>
      <c r="D45" s="22">
        <v>1</v>
      </c>
      <c r="E45" s="23">
        <v>288</v>
      </c>
      <c r="F45" s="24" t="s">
        <v>37</v>
      </c>
      <c r="G45" s="19" t="s">
        <v>25</v>
      </c>
      <c r="H45" s="25">
        <f t="shared" si="6"/>
        <v>14.4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43213</v>
      </c>
      <c r="C46" s="21">
        <v>4.23</v>
      </c>
      <c r="D46" s="22">
        <v>1</v>
      </c>
      <c r="E46" s="23">
        <v>288</v>
      </c>
      <c r="F46" s="24" t="s">
        <v>37</v>
      </c>
      <c r="G46" s="19" t="s">
        <v>25</v>
      </c>
      <c r="H46" s="25">
        <f t="shared" si="6"/>
        <v>14.4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43214</v>
      </c>
      <c r="C47" s="21">
        <v>4.25</v>
      </c>
      <c r="D47" s="22">
        <v>1</v>
      </c>
      <c r="E47" s="23">
        <v>259.2</v>
      </c>
      <c r="F47" s="24" t="s">
        <v>46</v>
      </c>
      <c r="G47" s="19" t="s">
        <v>25</v>
      </c>
      <c r="H47" s="25">
        <f t="shared" si="6"/>
        <v>13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43214</v>
      </c>
      <c r="C48" s="21" t="s">
        <v>177</v>
      </c>
      <c r="D48" s="22">
        <v>5</v>
      </c>
      <c r="E48" s="23">
        <f>ROUND(1254.8/7*5,1)</f>
        <v>896.3</v>
      </c>
      <c r="F48" s="32" t="s">
        <v>43</v>
      </c>
      <c r="G48" s="19" t="s">
        <v>32</v>
      </c>
      <c r="H48" s="25">
        <f t="shared" si="6"/>
        <v>44.8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/>
      <c r="C49" s="21"/>
      <c r="D49" s="22"/>
      <c r="E49" s="23"/>
      <c r="F49" s="24"/>
      <c r="G49" s="19"/>
      <c r="H49" s="19"/>
      <c r="J49" s="20"/>
      <c r="K49" s="19"/>
      <c r="L49" s="23"/>
      <c r="M49" s="20"/>
      <c r="N49" s="19"/>
      <c r="O49" s="23"/>
    </row>
    <row r="50" spans="1:15">
      <c r="A50" s="19">
        <v>9</v>
      </c>
      <c r="B50" s="20"/>
      <c r="C50" s="21"/>
      <c r="D50" s="22"/>
      <c r="E50" s="23"/>
      <c r="F50" s="24"/>
      <c r="G50" s="19"/>
      <c r="H50" s="19"/>
      <c r="J50" s="20"/>
      <c r="K50" s="19"/>
      <c r="L50" s="23"/>
      <c r="M50" s="20"/>
      <c r="N50" s="19"/>
      <c r="O50" s="23"/>
    </row>
    <row r="51" spans="1:15">
      <c r="A51" s="19">
        <v>10</v>
      </c>
      <c r="B51" s="20"/>
      <c r="C51" s="21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11</v>
      </c>
      <c r="B52" s="20"/>
      <c r="C52" s="21"/>
      <c r="D52" s="22"/>
      <c r="E52" s="23"/>
      <c r="F52" s="24"/>
      <c r="G52" s="19"/>
      <c r="H52" s="19"/>
      <c r="J52" s="20"/>
      <c r="K52" s="19"/>
      <c r="L52" s="23"/>
      <c r="M52" s="20"/>
      <c r="N52" s="19"/>
      <c r="O52" s="23"/>
    </row>
    <row r="53" ht="30" customHeight="1" spans="1:15">
      <c r="A53" s="12" t="s">
        <v>76</v>
      </c>
      <c r="B53" s="67"/>
      <c r="C53" s="14"/>
      <c r="D53" s="15">
        <f t="shared" ref="D53:H53" si="7">SUM(D54:D64)</f>
        <v>6</v>
      </c>
      <c r="E53" s="16">
        <f t="shared" si="7"/>
        <v>1395.3</v>
      </c>
      <c r="F53" s="14"/>
      <c r="G53" s="14"/>
      <c r="H53" s="16">
        <f t="shared" si="7"/>
        <v>101.7</v>
      </c>
      <c r="J53" s="14"/>
      <c r="K53" s="14"/>
      <c r="L53" s="16">
        <f>SUM(L54:L64)</f>
        <v>0</v>
      </c>
      <c r="M53" s="14"/>
      <c r="N53" s="14"/>
      <c r="O53" s="16"/>
    </row>
    <row r="54" spans="1:15">
      <c r="A54" s="19">
        <v>1</v>
      </c>
      <c r="B54" s="20">
        <v>43214</v>
      </c>
      <c r="C54" s="21" t="s">
        <v>178</v>
      </c>
      <c r="D54" s="22">
        <v>2</v>
      </c>
      <c r="E54" s="23">
        <f>ROUND(1254.8/7*2,1)</f>
        <v>358.5</v>
      </c>
      <c r="F54" s="32" t="s">
        <v>43</v>
      </c>
      <c r="G54" s="19" t="s">
        <v>32</v>
      </c>
      <c r="H54" s="25">
        <f>ROUND(E54*0.05,1)</f>
        <v>17.9</v>
      </c>
      <c r="J54" s="40"/>
      <c r="K54" s="19"/>
      <c r="L54" s="23"/>
      <c r="M54" s="40"/>
      <c r="N54" s="19"/>
      <c r="O54" s="23"/>
    </row>
    <row r="55" spans="1:15">
      <c r="A55" s="19">
        <v>2</v>
      </c>
      <c r="B55" s="20"/>
      <c r="C55" s="21"/>
      <c r="D55" s="22"/>
      <c r="E55" s="23"/>
      <c r="F55" s="19"/>
      <c r="G55" s="19"/>
      <c r="H55" s="19"/>
      <c r="J55" s="20"/>
      <c r="K55" s="19"/>
      <c r="L55" s="23"/>
      <c r="M55" s="20"/>
      <c r="N55" s="19"/>
      <c r="O55" s="23"/>
    </row>
    <row r="56" spans="1:15">
      <c r="A56" s="19">
        <v>3</v>
      </c>
      <c r="B56" s="20"/>
      <c r="C56" s="21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4</v>
      </c>
      <c r="B57" s="20"/>
      <c r="C57" s="21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5</v>
      </c>
      <c r="B58" s="20"/>
      <c r="C58" s="21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6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7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8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9</v>
      </c>
      <c r="B62" s="20">
        <v>43189</v>
      </c>
      <c r="C62" s="21" t="s">
        <v>179</v>
      </c>
      <c r="D62" s="22">
        <v>4</v>
      </c>
      <c r="E62" s="23">
        <f>518.4*2</f>
        <v>1036.8</v>
      </c>
      <c r="F62" s="24" t="s">
        <v>46</v>
      </c>
      <c r="G62" s="19" t="s">
        <v>25</v>
      </c>
      <c r="H62" s="19">
        <v>83.8</v>
      </c>
      <c r="J62" s="20"/>
      <c r="K62" s="19"/>
      <c r="L62" s="23"/>
      <c r="M62" s="20"/>
      <c r="N62" s="19"/>
      <c r="O62" s="23"/>
    </row>
    <row r="63" spans="1:15">
      <c r="A63" s="19">
        <v>10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11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ht="30" customHeight="1" spans="1:15">
      <c r="A65" s="12" t="s">
        <v>80</v>
      </c>
      <c r="B65" s="67"/>
      <c r="C65" s="14"/>
      <c r="D65" s="15">
        <f t="shared" ref="D65:H65" si="8">SUM(D66:D76)</f>
        <v>0</v>
      </c>
      <c r="E65" s="16">
        <f t="shared" si="8"/>
        <v>0</v>
      </c>
      <c r="F65" s="14"/>
      <c r="G65" s="14"/>
      <c r="H65" s="16">
        <f t="shared" si="8"/>
        <v>0</v>
      </c>
      <c r="J65" s="14"/>
      <c r="K65" s="14"/>
      <c r="L65" s="16">
        <f>SUM(L66:L76)</f>
        <v>0</v>
      </c>
      <c r="M65" s="14"/>
      <c r="N65" s="14"/>
      <c r="O65" s="16"/>
    </row>
    <row r="66" spans="1:15">
      <c r="A66" s="19">
        <v>1</v>
      </c>
      <c r="B66" s="20"/>
      <c r="C66" s="21"/>
      <c r="D66" s="22"/>
      <c r="E66" s="23"/>
      <c r="F66" s="24"/>
      <c r="G66" s="19"/>
      <c r="H66" s="19"/>
      <c r="J66" s="40"/>
      <c r="K66" s="19"/>
      <c r="L66" s="23"/>
      <c r="M66" s="40"/>
      <c r="N66" s="19"/>
      <c r="O66" s="23"/>
    </row>
    <row r="67" spans="1:15">
      <c r="A67" s="19">
        <v>2</v>
      </c>
      <c r="B67" s="20"/>
      <c r="C67" s="21"/>
      <c r="D67" s="22"/>
      <c r="E67" s="23"/>
      <c r="F67" s="19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3</v>
      </c>
      <c r="B68" s="20"/>
      <c r="C68" s="21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spans="1:15">
      <c r="A69" s="19">
        <v>4</v>
      </c>
      <c r="B69" s="20"/>
      <c r="C69" s="21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5</v>
      </c>
      <c r="B70" s="20"/>
      <c r="C70" s="21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6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7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8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9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10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11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ht="30" customHeight="1" spans="1:15">
      <c r="A77" s="12" t="s">
        <v>82</v>
      </c>
      <c r="B77" s="67"/>
      <c r="C77" s="14"/>
      <c r="D77" s="15">
        <f t="shared" ref="D77:H77" si="9">SUM(D78:D88)</f>
        <v>0</v>
      </c>
      <c r="E77" s="16">
        <f t="shared" si="9"/>
        <v>0</v>
      </c>
      <c r="F77" s="14"/>
      <c r="G77" s="14"/>
      <c r="H77" s="16">
        <f t="shared" si="9"/>
        <v>0</v>
      </c>
      <c r="J77" s="14"/>
      <c r="K77" s="14"/>
      <c r="L77" s="16">
        <f>SUM(L78:L88)</f>
        <v>0</v>
      </c>
      <c r="M77" s="14"/>
      <c r="N77" s="14"/>
      <c r="O77" s="16"/>
    </row>
    <row r="78" spans="1:15">
      <c r="A78" s="19">
        <v>1</v>
      </c>
      <c r="B78" s="20"/>
      <c r="C78" s="21"/>
      <c r="D78" s="22"/>
      <c r="E78" s="23"/>
      <c r="F78" s="24"/>
      <c r="G78" s="19"/>
      <c r="H78" s="19"/>
      <c r="J78" s="40"/>
      <c r="K78" s="19"/>
      <c r="L78" s="23"/>
      <c r="M78" s="40"/>
      <c r="N78" s="19"/>
      <c r="O78" s="23"/>
    </row>
    <row r="79" spans="1:15">
      <c r="A79" s="19">
        <v>2</v>
      </c>
      <c r="B79" s="20"/>
      <c r="C79" s="21"/>
      <c r="D79" s="22"/>
      <c r="E79" s="23"/>
      <c r="F79" s="19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3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4</v>
      </c>
      <c r="B81" s="20"/>
      <c r="C81" s="21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5</v>
      </c>
      <c r="B82" s="20"/>
      <c r="C82" s="21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6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7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8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9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10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11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ht="30" customHeight="1" spans="1:15">
      <c r="A89" s="12" t="s">
        <v>83</v>
      </c>
      <c r="B89" s="67"/>
      <c r="C89" s="14"/>
      <c r="D89" s="15">
        <f t="shared" ref="D89:H89" si="10">SUM(D90:D100)</f>
        <v>0</v>
      </c>
      <c r="E89" s="16">
        <f t="shared" si="10"/>
        <v>0</v>
      </c>
      <c r="F89" s="14"/>
      <c r="G89" s="14"/>
      <c r="H89" s="16">
        <f t="shared" si="10"/>
        <v>0</v>
      </c>
      <c r="J89" s="14"/>
      <c r="K89" s="14"/>
      <c r="L89" s="16">
        <f>SUM(L90:L100)</f>
        <v>0</v>
      </c>
      <c r="M89" s="14"/>
      <c r="N89" s="14"/>
      <c r="O89" s="16"/>
    </row>
    <row r="90" spans="1:15">
      <c r="A90" s="19">
        <v>1</v>
      </c>
      <c r="B90" s="20"/>
      <c r="C90" s="21"/>
      <c r="D90" s="22"/>
      <c r="E90" s="23"/>
      <c r="F90" s="24"/>
      <c r="G90" s="19"/>
      <c r="H90" s="19"/>
      <c r="J90" s="40"/>
      <c r="K90" s="19"/>
      <c r="L90" s="23"/>
      <c r="M90" s="40"/>
      <c r="N90" s="19"/>
      <c r="O90" s="23"/>
    </row>
    <row r="91" spans="1:15">
      <c r="A91" s="19">
        <v>2</v>
      </c>
      <c r="B91" s="20"/>
      <c r="C91" s="21"/>
      <c r="D91" s="22"/>
      <c r="E91" s="23"/>
      <c r="F91" s="19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3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4</v>
      </c>
      <c r="B93" s="20"/>
      <c r="C93" s="21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5</v>
      </c>
      <c r="B94" s="20"/>
      <c r="C94" s="21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6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7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8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9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10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11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ht="30" customHeight="1" spans="1:15">
      <c r="A101" s="12" t="s">
        <v>84</v>
      </c>
      <c r="B101" s="67"/>
      <c r="C101" s="14"/>
      <c r="D101" s="15">
        <f t="shared" ref="D101:H101" si="11">SUM(D102:D112)</f>
        <v>0</v>
      </c>
      <c r="E101" s="16">
        <f t="shared" si="11"/>
        <v>0</v>
      </c>
      <c r="F101" s="14"/>
      <c r="G101" s="14"/>
      <c r="H101" s="16">
        <f t="shared" si="11"/>
        <v>0</v>
      </c>
      <c r="J101" s="14"/>
      <c r="K101" s="14"/>
      <c r="L101" s="16">
        <f>SUM(L102:L112)</f>
        <v>0</v>
      </c>
      <c r="M101" s="14"/>
      <c r="N101" s="14"/>
      <c r="O101" s="16"/>
    </row>
    <row r="102" spans="1:15">
      <c r="A102" s="19">
        <v>1</v>
      </c>
      <c r="B102" s="20"/>
      <c r="C102" s="21"/>
      <c r="D102" s="22"/>
      <c r="E102" s="23"/>
      <c r="F102" s="24"/>
      <c r="G102" s="19"/>
      <c r="H102" s="19"/>
      <c r="J102" s="40"/>
      <c r="K102" s="19"/>
      <c r="L102" s="23"/>
      <c r="M102" s="40"/>
      <c r="N102" s="19"/>
      <c r="O102" s="23"/>
    </row>
    <row r="103" spans="1:15">
      <c r="A103" s="19">
        <v>2</v>
      </c>
      <c r="B103" s="20"/>
      <c r="C103" s="21"/>
      <c r="D103" s="22"/>
      <c r="E103" s="23"/>
      <c r="F103" s="19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3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4</v>
      </c>
      <c r="B105" s="20"/>
      <c r="C105" s="21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5</v>
      </c>
      <c r="B106" s="20"/>
      <c r="C106" s="21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6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7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8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9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10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11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ht="30" customHeight="1" spans="1:15">
      <c r="A113" s="12" t="s">
        <v>85</v>
      </c>
      <c r="B113" s="67"/>
      <c r="C113" s="14"/>
      <c r="D113" s="15">
        <f t="shared" ref="D113:H113" si="12">SUM(D114:D124)</f>
        <v>0</v>
      </c>
      <c r="E113" s="16">
        <f t="shared" si="12"/>
        <v>0</v>
      </c>
      <c r="F113" s="14"/>
      <c r="G113" s="14"/>
      <c r="H113" s="16">
        <f t="shared" si="12"/>
        <v>0</v>
      </c>
      <c r="J113" s="14"/>
      <c r="K113" s="14"/>
      <c r="L113" s="16">
        <f>SUM(L114:L124)</f>
        <v>0</v>
      </c>
      <c r="M113" s="14"/>
      <c r="N113" s="14"/>
      <c r="O113" s="16"/>
    </row>
    <row r="114" spans="1:15">
      <c r="A114" s="19">
        <v>1</v>
      </c>
      <c r="B114" s="20"/>
      <c r="C114" s="21"/>
      <c r="D114" s="22"/>
      <c r="E114" s="23"/>
      <c r="F114" s="24"/>
      <c r="G114" s="19"/>
      <c r="H114" s="19"/>
      <c r="J114" s="40"/>
      <c r="K114" s="19"/>
      <c r="L114" s="23"/>
      <c r="M114" s="40"/>
      <c r="N114" s="19"/>
      <c r="O114" s="23"/>
    </row>
    <row r="115" spans="1:15">
      <c r="A115" s="19">
        <v>2</v>
      </c>
      <c r="B115" s="20"/>
      <c r="C115" s="21"/>
      <c r="D115" s="22"/>
      <c r="E115" s="23"/>
      <c r="F115" s="19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3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4</v>
      </c>
      <c r="B117" s="20"/>
      <c r="C117" s="21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5</v>
      </c>
      <c r="B118" s="20"/>
      <c r="C118" s="21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6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7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8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9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10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11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ht="30" customHeight="1" spans="1:15">
      <c r="A125" s="12" t="s">
        <v>86</v>
      </c>
      <c r="B125" s="67"/>
      <c r="C125" s="14"/>
      <c r="D125" s="15">
        <f t="shared" ref="D125:H125" si="13">SUM(D126:D136)</f>
        <v>0</v>
      </c>
      <c r="E125" s="16">
        <f t="shared" si="13"/>
        <v>0</v>
      </c>
      <c r="F125" s="14"/>
      <c r="G125" s="14"/>
      <c r="H125" s="16">
        <f t="shared" si="13"/>
        <v>0</v>
      </c>
      <c r="J125" s="14"/>
      <c r="K125" s="14"/>
      <c r="L125" s="16">
        <f>SUM(L126:L136)</f>
        <v>0</v>
      </c>
      <c r="M125" s="14"/>
      <c r="N125" s="14"/>
      <c r="O125" s="16"/>
    </row>
    <row r="126" spans="1:15">
      <c r="A126" s="19">
        <v>1</v>
      </c>
      <c r="B126" s="20"/>
      <c r="C126" s="21"/>
      <c r="D126" s="22"/>
      <c r="E126" s="23"/>
      <c r="F126" s="24"/>
      <c r="G126" s="19"/>
      <c r="H126" s="19"/>
      <c r="J126" s="40"/>
      <c r="K126" s="19"/>
      <c r="L126" s="23"/>
      <c r="M126" s="40"/>
      <c r="N126" s="19"/>
      <c r="O126" s="23"/>
    </row>
    <row r="127" spans="1:15">
      <c r="A127" s="19">
        <v>2</v>
      </c>
      <c r="B127" s="20"/>
      <c r="C127" s="21"/>
      <c r="D127" s="22"/>
      <c r="E127" s="23"/>
      <c r="F127" s="19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3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4</v>
      </c>
      <c r="B129" s="20"/>
      <c r="C129" s="21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5</v>
      </c>
      <c r="B130" s="20"/>
      <c r="C130" s="21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6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7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8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9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10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11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ht="30" customHeight="1" spans="1:15">
      <c r="A137" s="12" t="s">
        <v>87</v>
      </c>
      <c r="B137" s="67"/>
      <c r="C137" s="14"/>
      <c r="D137" s="15">
        <f t="shared" ref="D137:H137" si="14">SUM(D138:D148)</f>
        <v>0</v>
      </c>
      <c r="E137" s="16">
        <f t="shared" si="14"/>
        <v>0</v>
      </c>
      <c r="F137" s="14"/>
      <c r="G137" s="14"/>
      <c r="H137" s="16">
        <f t="shared" si="14"/>
        <v>0</v>
      </c>
      <c r="J137" s="14"/>
      <c r="K137" s="14"/>
      <c r="L137" s="16">
        <f>SUM(L138:L148)</f>
        <v>0</v>
      </c>
      <c r="M137" s="14"/>
      <c r="N137" s="14"/>
      <c r="O137" s="16"/>
    </row>
    <row r="138" spans="1:15">
      <c r="A138" s="19">
        <v>1</v>
      </c>
      <c r="B138" s="20"/>
      <c r="C138" s="21"/>
      <c r="D138" s="22"/>
      <c r="E138" s="23"/>
      <c r="F138" s="24"/>
      <c r="G138" s="19"/>
      <c r="H138" s="19"/>
      <c r="J138" s="40"/>
      <c r="K138" s="19"/>
      <c r="L138" s="23"/>
      <c r="M138" s="40"/>
      <c r="N138" s="19"/>
      <c r="O138" s="23"/>
    </row>
    <row r="139" spans="1:15">
      <c r="A139" s="19">
        <v>2</v>
      </c>
      <c r="B139" s="20"/>
      <c r="C139" s="21"/>
      <c r="D139" s="22"/>
      <c r="E139" s="23"/>
      <c r="F139" s="19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3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4</v>
      </c>
      <c r="B141" s="20"/>
      <c r="C141" s="21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5</v>
      </c>
      <c r="B142" s="20"/>
      <c r="C142" s="21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6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7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8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9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10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11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6 G18 G42 G10:G16 G26:G28 G31:G40 G49:G52 G55:G61 G63:G64 G66:G76 G78:G88 G90:G100 G102:G112 G114:G124 G126:G136 G138:G148 N10:N16 N26:N28 N30:N40 N42:N52 N54:N64 N66:N76 N78:N88 N90:N100 N102:N112 N114:N124 N126:N136 N138:N148">
      <formula1>"王,娟,敏,蕾,佩,松"</formula1>
    </dataValidation>
    <dataValidation type="list" allowBlank="1" showInputMessage="1" showErrorMessage="1" sqref="F16 F28 F40 F52 F64 F76 F88 F100 F112 F124 F136 F148">
      <formula1>"小猪,蚂蚁,BNB,途家,闲鱼"</formula1>
    </dataValidation>
    <dataValidation type="list" allowBlank="1" showInputMessage="1" showErrorMessage="1" sqref="F30">
      <formula1>"小猪,蚂蚁,BNB,途家,闲鱼,线下"</formula1>
    </dataValidation>
    <dataValidation type="list" allowBlank="1" showInputMessage="1" showErrorMessage="1" sqref="G30 G54 G7:G9 G19:G25 G43:G48 M6:M9 M18:M25">
      <formula1>"王,娟,蕾,敏,佩,松"</formula1>
    </dataValidation>
    <dataValidation type="list" allowBlank="1" showInputMessage="1" sqref="F42 F63 F6:F15 F18:F19 F26:F27 F31:F39 F49:F51 F55:F61 F66:F75 F78:F87 F90:F99 F102:F111 F114:F123 F126:F135 F138:F147">
      <formula1>"小猪,蚂蚁,BNB,途家,闲鱼,线下"</formula1>
    </dataValidation>
    <dataValidation type="list" allowBlank="1" showInputMessage="1" sqref="F54 F20:F25 F43:F48">
      <formula1>"小猪,蚂蚁,BNB,途家,闲鱼"</formula1>
    </dataValidation>
    <dataValidation type="list" allowBlank="1" showInputMessage="1" showErrorMessage="1" sqref="K6:K16 K18:K28 K30:K40 K42:K52 K54:K64 K66:K76 K78:K88 K90:K100 K102:K112 K114:K124 K126:K136 K138:K148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9"/>
  </sheetPr>
  <dimension ref="A1:W150"/>
  <sheetViews>
    <sheetView zoomScale="85" zoomScaleNormal="85" workbookViewId="0">
      <pane xSplit="1" ySplit="4" topLeftCell="B34" activePane="bottomRight" state="frozen"/>
      <selection/>
      <selection pane="topRight"/>
      <selection pane="bottomLeft"/>
      <selection pane="bottomRight" activeCell="B54" sqref="B54"/>
    </sheetView>
  </sheetViews>
  <sheetFormatPr defaultColWidth="9" defaultRowHeight="15"/>
  <cols>
    <col min="1" max="1" width="6" style="2" customWidth="1"/>
    <col min="2" max="2" width="10" style="2" customWidth="1"/>
    <col min="3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4" customWidth="1"/>
    <col min="17" max="17" width="5.625"/>
    <col min="18" max="18" width="6.375"/>
    <col min="19" max="19" width="5.625"/>
    <col min="20" max="20" width="7.375"/>
    <col min="21" max="21" width="5.625"/>
    <col min="22" max="22" width="8.375"/>
    <col min="23" max="23" width="5.625"/>
  </cols>
  <sheetData>
    <row r="1" s="4" customFormat="1" ht="39" customHeight="1" spans="1:23">
      <c r="A1" s="6" t="s">
        <v>180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17</v>
      </c>
      <c r="E5" s="16">
        <f t="shared" si="0"/>
        <v>0</v>
      </c>
      <c r="F5" s="14"/>
      <c r="G5" s="14"/>
      <c r="H5" s="16">
        <f t="shared" si="0"/>
        <v>0</v>
      </c>
      <c r="J5" s="14"/>
      <c r="K5" s="14"/>
      <c r="L5" s="16">
        <f>SUM(L6:L16)</f>
        <v>70</v>
      </c>
      <c r="M5" s="14"/>
      <c r="N5" s="14"/>
      <c r="O5" s="16">
        <f>E5-H5-L5</f>
        <v>-70</v>
      </c>
      <c r="Q5" s="48"/>
      <c r="R5" s="48">
        <f>SUM(R6:R11)</f>
        <v>0</v>
      </c>
      <c r="S5" s="48"/>
      <c r="T5" s="49">
        <f>SUM(T6:T11)</f>
        <v>70</v>
      </c>
      <c r="U5" s="48"/>
      <c r="V5" s="48"/>
      <c r="W5" s="50"/>
    </row>
    <row r="6" spans="1:23">
      <c r="A6" s="19">
        <v>1</v>
      </c>
      <c r="B6" s="20"/>
      <c r="C6" s="20"/>
      <c r="D6" s="22"/>
      <c r="E6" s="23"/>
      <c r="F6" s="24" t="s">
        <v>24</v>
      </c>
      <c r="G6" s="19"/>
      <c r="H6" s="19"/>
      <c r="J6" s="40">
        <v>43130</v>
      </c>
      <c r="K6" s="19" t="s">
        <v>26</v>
      </c>
      <c r="L6" s="23">
        <v>70</v>
      </c>
      <c r="M6" s="19" t="s">
        <v>27</v>
      </c>
      <c r="N6" s="42">
        <v>1.3</v>
      </c>
      <c r="O6" s="23"/>
      <c r="Q6" s="48" t="s">
        <v>27</v>
      </c>
      <c r="R6" s="48">
        <f t="shared" ref="R6:R11" si="1">SUMIF($G$6:$G$16,Q6,$H$6:$H$16)</f>
        <v>0</v>
      </c>
      <c r="S6" s="48" t="s">
        <v>26</v>
      </c>
      <c r="T6" s="48">
        <f>SUMIF(K6:K16,S6,L6:L16)</f>
        <v>70</v>
      </c>
      <c r="U6" s="48" t="s">
        <v>28</v>
      </c>
      <c r="V6" s="49">
        <f>O5</f>
        <v>-70</v>
      </c>
      <c r="W6" s="50"/>
    </row>
    <row r="7" spans="1:23">
      <c r="A7" s="19">
        <v>2</v>
      </c>
      <c r="B7" s="20"/>
      <c r="C7" s="20"/>
      <c r="D7" s="22"/>
      <c r="E7" s="23"/>
      <c r="F7" s="19" t="s">
        <v>46</v>
      </c>
      <c r="G7" s="19"/>
      <c r="H7" s="19"/>
      <c r="J7" s="20"/>
      <c r="K7" s="19"/>
      <c r="L7" s="23"/>
      <c r="M7" s="20"/>
      <c r="N7" s="19"/>
      <c r="O7" s="23"/>
      <c r="Q7" s="48" t="s">
        <v>25</v>
      </c>
      <c r="R7" s="48">
        <f t="shared" si="1"/>
        <v>0</v>
      </c>
      <c r="S7" s="48" t="s">
        <v>29</v>
      </c>
      <c r="T7" s="48"/>
      <c r="U7" s="48" t="s">
        <v>30</v>
      </c>
      <c r="V7" s="49">
        <f>ROUND($V$6*W7,1)</f>
        <v>-56</v>
      </c>
      <c r="W7" s="51">
        <v>0.8</v>
      </c>
    </row>
    <row r="8" spans="1:23">
      <c r="A8" s="19">
        <v>3</v>
      </c>
      <c r="B8" s="20"/>
      <c r="C8" s="20"/>
      <c r="D8" s="22"/>
      <c r="E8" s="23"/>
      <c r="F8" s="24" t="s">
        <v>43</v>
      </c>
      <c r="G8" s="19"/>
      <c r="H8" s="19"/>
      <c r="J8" s="20"/>
      <c r="K8" s="19"/>
      <c r="L8" s="23"/>
      <c r="M8" s="20"/>
      <c r="N8" s="19"/>
      <c r="O8" s="23"/>
      <c r="Q8" s="48" t="s">
        <v>32</v>
      </c>
      <c r="R8" s="48">
        <f t="shared" si="1"/>
        <v>0</v>
      </c>
      <c r="S8" s="48" t="s">
        <v>33</v>
      </c>
      <c r="T8" s="48"/>
      <c r="U8" s="48" t="s">
        <v>117</v>
      </c>
      <c r="V8" s="49">
        <f>ROUND($V$6*W8,1)</f>
        <v>-14</v>
      </c>
      <c r="W8" s="51">
        <v>0.2</v>
      </c>
    </row>
    <row r="9" spans="1:23">
      <c r="A9" s="19">
        <v>4</v>
      </c>
      <c r="B9" s="20"/>
      <c r="C9" s="20"/>
      <c r="D9" s="22"/>
      <c r="E9" s="23"/>
      <c r="F9" s="24" t="s">
        <v>46</v>
      </c>
      <c r="G9" s="19"/>
      <c r="H9" s="19"/>
      <c r="J9" s="20"/>
      <c r="K9" s="19"/>
      <c r="L9" s="23"/>
      <c r="M9" s="20"/>
      <c r="N9" s="19"/>
      <c r="O9" s="23"/>
      <c r="Q9" s="48" t="s">
        <v>35</v>
      </c>
      <c r="R9" s="48">
        <f t="shared" si="1"/>
        <v>0</v>
      </c>
      <c r="S9" s="48" t="s">
        <v>36</v>
      </c>
      <c r="T9" s="48"/>
      <c r="U9" s="48"/>
      <c r="V9" s="52"/>
      <c r="W9" s="51"/>
    </row>
    <row r="10" spans="1:23">
      <c r="A10" s="19">
        <v>5</v>
      </c>
      <c r="B10" s="20">
        <v>43095</v>
      </c>
      <c r="C10" s="20" t="s">
        <v>181</v>
      </c>
      <c r="D10" s="22">
        <v>17</v>
      </c>
      <c r="E10" s="70">
        <v>0</v>
      </c>
      <c r="F10" s="24" t="s">
        <v>37</v>
      </c>
      <c r="G10" s="19" t="s">
        <v>30</v>
      </c>
      <c r="H10" s="25">
        <f>ROUND(E10*0.05,1)</f>
        <v>0</v>
      </c>
      <c r="J10" s="20"/>
      <c r="K10" s="19"/>
      <c r="L10" s="23"/>
      <c r="M10" s="20"/>
      <c r="N10" s="19"/>
      <c r="O10" s="23"/>
      <c r="Q10" s="48" t="s">
        <v>30</v>
      </c>
      <c r="R10" s="48">
        <f t="shared" si="1"/>
        <v>0</v>
      </c>
      <c r="S10" s="48" t="s">
        <v>38</v>
      </c>
      <c r="T10" s="48"/>
      <c r="U10" s="48"/>
      <c r="V10" s="52"/>
      <c r="W10" s="51"/>
    </row>
    <row r="11" spans="1:23">
      <c r="A11" s="19">
        <v>6</v>
      </c>
      <c r="B11" s="20"/>
      <c r="C11" s="20"/>
      <c r="D11" s="22"/>
      <c r="E11" s="23"/>
      <c r="F11" s="24" t="s">
        <v>57</v>
      </c>
      <c r="G11" s="19"/>
      <c r="H11" s="19"/>
      <c r="J11" s="20"/>
      <c r="K11" s="19"/>
      <c r="L11" s="23"/>
      <c r="M11" s="20"/>
      <c r="N11" s="19"/>
      <c r="O11" s="23"/>
      <c r="Q11" s="48" t="s">
        <v>39</v>
      </c>
      <c r="R11" s="48">
        <f t="shared" si="1"/>
        <v>0</v>
      </c>
      <c r="S11" s="48" t="s">
        <v>40</v>
      </c>
      <c r="T11" s="48"/>
      <c r="U11" s="48"/>
      <c r="V11" s="48"/>
      <c r="W11" s="50"/>
    </row>
    <row r="12" spans="1:15">
      <c r="A12" s="19">
        <v>7</v>
      </c>
      <c r="B12" s="20"/>
      <c r="C12" s="20"/>
      <c r="D12" s="22"/>
      <c r="E12" s="23"/>
      <c r="F12" s="24" t="s">
        <v>57</v>
      </c>
      <c r="G12" s="19"/>
      <c r="H12" s="19"/>
      <c r="J12" s="20"/>
      <c r="K12" s="19"/>
      <c r="L12" s="23"/>
      <c r="M12" s="20"/>
      <c r="N12" s="19"/>
      <c r="O12" s="23"/>
    </row>
    <row r="13" spans="1:15">
      <c r="A13" s="19">
        <v>8</v>
      </c>
      <c r="B13" s="20"/>
      <c r="C13" s="20"/>
      <c r="D13" s="22"/>
      <c r="E13" s="23"/>
      <c r="F13" s="24" t="s">
        <v>182</v>
      </c>
      <c r="G13" s="19"/>
      <c r="H13" s="19"/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0"/>
      <c r="D14" s="22"/>
      <c r="E14" s="22"/>
      <c r="F14" s="24"/>
      <c r="G14" s="19"/>
      <c r="H14" s="22"/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0"/>
      <c r="D15" s="22"/>
      <c r="E15" s="23"/>
      <c r="F15" s="24" t="s">
        <v>43</v>
      </c>
      <c r="G15" s="19"/>
      <c r="H15" s="19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0"/>
      <c r="D16" s="22"/>
      <c r="E16" s="23"/>
      <c r="F16" s="24" t="s">
        <v>43</v>
      </c>
      <c r="G16" s="19"/>
      <c r="H16" s="19"/>
      <c r="J16" s="20"/>
      <c r="K16" s="19"/>
      <c r="L16" s="23"/>
      <c r="M16" s="20"/>
      <c r="N16" s="19"/>
      <c r="O16" s="23"/>
    </row>
    <row r="17" ht="30" customHeight="1" spans="1:15">
      <c r="A17" s="12" t="s">
        <v>49</v>
      </c>
      <c r="B17" s="13"/>
      <c r="C17" s="14"/>
      <c r="D17" s="15">
        <f t="shared" ref="D17:H17" si="2">SUM(D18:D28)</f>
        <v>35</v>
      </c>
      <c r="E17" s="16">
        <f t="shared" si="2"/>
        <v>3590</v>
      </c>
      <c r="F17" s="14"/>
      <c r="G17" s="14"/>
      <c r="H17" s="16">
        <f t="shared" si="2"/>
        <v>179.5</v>
      </c>
      <c r="J17" s="14"/>
      <c r="K17" s="14"/>
      <c r="L17" s="16">
        <f>SUM(L18:L28)</f>
        <v>0</v>
      </c>
      <c r="M17" s="14"/>
      <c r="N17" s="14"/>
      <c r="O17" s="16">
        <f>E17-H17-L17</f>
        <v>3410.5</v>
      </c>
    </row>
    <row r="18" spans="1:15">
      <c r="A18" s="19">
        <v>1</v>
      </c>
      <c r="B18" s="20"/>
      <c r="C18" s="20"/>
      <c r="D18" s="22"/>
      <c r="E18" s="23"/>
      <c r="F18" s="24"/>
      <c r="G18" s="19"/>
      <c r="H18" s="19"/>
      <c r="J18" s="40"/>
      <c r="K18" s="19"/>
      <c r="L18" s="23"/>
      <c r="M18" s="40"/>
      <c r="N18" s="19"/>
      <c r="O18" s="23"/>
    </row>
    <row r="19" spans="1:15">
      <c r="A19" s="19">
        <v>2</v>
      </c>
      <c r="B19" s="20"/>
      <c r="C19" s="21" t="s">
        <v>183</v>
      </c>
      <c r="D19" s="22">
        <f>(28-3)+10</f>
        <v>35</v>
      </c>
      <c r="E19" s="23">
        <v>3590</v>
      </c>
      <c r="F19" s="24" t="s">
        <v>37</v>
      </c>
      <c r="G19" s="19"/>
      <c r="H19" s="25">
        <f>ROUND(E19*0.05,1)</f>
        <v>179.5</v>
      </c>
      <c r="J19" s="20"/>
      <c r="K19" s="19"/>
      <c r="L19" s="23"/>
      <c r="M19" s="20"/>
      <c r="N19" s="19"/>
      <c r="O19" s="23"/>
    </row>
    <row r="20" spans="1:15">
      <c r="A20" s="19">
        <v>3</v>
      </c>
      <c r="B20" s="20"/>
      <c r="C20" s="20"/>
      <c r="D20" s="22"/>
      <c r="E20" s="23"/>
      <c r="F20" s="24"/>
      <c r="G20" s="19"/>
      <c r="H20" s="25"/>
      <c r="J20" s="20"/>
      <c r="K20" s="19"/>
      <c r="L20" s="23"/>
      <c r="M20" s="20"/>
      <c r="N20" s="19"/>
      <c r="O20" s="23"/>
    </row>
    <row r="21" spans="1:15">
      <c r="A21" s="19">
        <v>4</v>
      </c>
      <c r="B21" s="20"/>
      <c r="C21" s="20"/>
      <c r="D21" s="22"/>
      <c r="E21" s="23"/>
      <c r="F21" s="24"/>
      <c r="G21" s="19"/>
      <c r="H21" s="19"/>
      <c r="J21" s="20"/>
      <c r="K21" s="19"/>
      <c r="L21" s="23"/>
      <c r="M21" s="20"/>
      <c r="N21" s="19"/>
      <c r="O21" s="23"/>
    </row>
    <row r="22" spans="1:15">
      <c r="A22" s="19">
        <v>5</v>
      </c>
      <c r="B22" s="20"/>
      <c r="C22" s="20"/>
      <c r="D22" s="22"/>
      <c r="E22" s="23"/>
      <c r="F22" s="24"/>
      <c r="G22" s="19"/>
      <c r="H22" s="19"/>
      <c r="J22" s="20"/>
      <c r="K22" s="19"/>
      <c r="L22" s="23"/>
      <c r="M22" s="20"/>
      <c r="N22" s="19"/>
      <c r="O22" s="23"/>
    </row>
    <row r="23" spans="1:15">
      <c r="A23" s="19">
        <v>6</v>
      </c>
      <c r="B23" s="20"/>
      <c r="C23" s="20"/>
      <c r="D23" s="22"/>
      <c r="E23" s="23"/>
      <c r="F23" s="24"/>
      <c r="G23" s="19"/>
      <c r="H23" s="19"/>
      <c r="J23" s="20"/>
      <c r="K23" s="19"/>
      <c r="L23" s="23"/>
      <c r="M23" s="20"/>
      <c r="N23" s="19"/>
      <c r="O23" s="23"/>
    </row>
    <row r="24" spans="1:15">
      <c r="A24" s="19">
        <v>7</v>
      </c>
      <c r="B24" s="20"/>
      <c r="C24" s="20"/>
      <c r="D24" s="22"/>
      <c r="E24" s="23"/>
      <c r="F24" s="24"/>
      <c r="G24" s="19"/>
      <c r="H24" s="19"/>
      <c r="J24" s="20"/>
      <c r="K24" s="19"/>
      <c r="L24" s="23"/>
      <c r="M24" s="20"/>
      <c r="N24" s="19"/>
      <c r="O24" s="23"/>
    </row>
    <row r="25" spans="1:15">
      <c r="A25" s="19">
        <v>8</v>
      </c>
      <c r="B25" s="20"/>
      <c r="C25" s="20"/>
      <c r="D25" s="22"/>
      <c r="E25" s="23"/>
      <c r="F25" s="24"/>
      <c r="G25" s="19"/>
      <c r="H25" s="19"/>
      <c r="J25" s="20"/>
      <c r="K25" s="19"/>
      <c r="L25" s="23"/>
      <c r="M25" s="20"/>
      <c r="N25" s="19"/>
      <c r="O25" s="23"/>
    </row>
    <row r="26" spans="1:15">
      <c r="A26" s="19">
        <v>9</v>
      </c>
      <c r="B26" s="20"/>
      <c r="C26" s="20"/>
      <c r="D26" s="22"/>
      <c r="E26" s="23"/>
      <c r="F26" s="24"/>
      <c r="G26" s="19"/>
      <c r="H26" s="25"/>
      <c r="J26" s="20"/>
      <c r="K26" s="19"/>
      <c r="L26" s="23"/>
      <c r="M26" s="20"/>
      <c r="N26" s="19"/>
      <c r="O26" s="23"/>
    </row>
    <row r="27" spans="1:15">
      <c r="A27" s="19">
        <v>10</v>
      </c>
      <c r="B27" s="20"/>
      <c r="C27" s="20"/>
      <c r="D27" s="22"/>
      <c r="E27" s="23"/>
      <c r="F27" s="24"/>
      <c r="G27" s="19"/>
      <c r="H27" s="19"/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0"/>
      <c r="D28" s="22"/>
      <c r="E28" s="23"/>
      <c r="F28" s="24"/>
      <c r="G28" s="19"/>
      <c r="H28" s="19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3">SUM(D30:D40)</f>
        <v>10</v>
      </c>
      <c r="E29" s="16">
        <f t="shared" si="3"/>
        <v>1834.8</v>
      </c>
      <c r="F29" s="14"/>
      <c r="G29" s="14"/>
      <c r="H29" s="16">
        <f t="shared" si="3"/>
        <v>91.8</v>
      </c>
      <c r="J29" s="14"/>
      <c r="K29" s="14"/>
      <c r="L29" s="16">
        <f>SUM(L30:L40)</f>
        <v>140</v>
      </c>
      <c r="M29" s="14"/>
      <c r="N29" s="14"/>
      <c r="O29" s="16">
        <f>E29-H29-L29</f>
        <v>1603</v>
      </c>
      <c r="Q29" s="48"/>
      <c r="R29" s="48">
        <f>SUM(R30:R35)</f>
        <v>91.8</v>
      </c>
      <c r="S29" s="48"/>
      <c r="T29" s="49">
        <f>SUM(T30:T35)</f>
        <v>140</v>
      </c>
      <c r="U29" s="48"/>
      <c r="V29" s="48"/>
      <c r="W29" s="50"/>
    </row>
    <row r="30" spans="1:23">
      <c r="A30" s="19">
        <v>1</v>
      </c>
      <c r="B30" s="20"/>
      <c r="C30" s="20"/>
      <c r="D30" s="22"/>
      <c r="E30" s="23"/>
      <c r="F30" s="24"/>
      <c r="G30" s="19"/>
      <c r="H30" s="19"/>
      <c r="J30" s="40">
        <v>43183</v>
      </c>
      <c r="K30" s="19" t="s">
        <v>26</v>
      </c>
      <c r="L30" s="23"/>
      <c r="M30" s="40" t="s">
        <v>25</v>
      </c>
      <c r="N30" s="19">
        <v>3.25</v>
      </c>
      <c r="O30" s="23"/>
      <c r="Q30" s="48" t="s">
        <v>27</v>
      </c>
      <c r="R30" s="73">
        <f>SUMIF(G30:G40,Q30,H30:H40)</f>
        <v>0</v>
      </c>
      <c r="S30" s="48" t="s">
        <v>26</v>
      </c>
      <c r="T30" s="48">
        <f>SUMIF(K30:K40,S30,L30:L40)</f>
        <v>140</v>
      </c>
      <c r="U30" s="48" t="s">
        <v>28</v>
      </c>
      <c r="V30" s="49">
        <f>O29</f>
        <v>1603</v>
      </c>
      <c r="W30" s="50"/>
    </row>
    <row r="31" spans="1:23">
      <c r="A31" s="19">
        <v>2</v>
      </c>
      <c r="B31" s="20">
        <v>43178</v>
      </c>
      <c r="C31" s="21">
        <v>3.19</v>
      </c>
      <c r="D31" s="22">
        <v>1</v>
      </c>
      <c r="E31" s="71">
        <v>150</v>
      </c>
      <c r="F31" s="72" t="s">
        <v>37</v>
      </c>
      <c r="G31" s="19" t="s">
        <v>30</v>
      </c>
      <c r="H31" s="25">
        <f t="shared" ref="H31:H36" si="4">ROUND(E31*0.05,1)</f>
        <v>7.5</v>
      </c>
      <c r="J31" s="20">
        <v>43186</v>
      </c>
      <c r="K31" s="19" t="s">
        <v>26</v>
      </c>
      <c r="L31" s="23">
        <v>70</v>
      </c>
      <c r="M31" s="20" t="s">
        <v>32</v>
      </c>
      <c r="N31" s="19" t="s">
        <v>56</v>
      </c>
      <c r="O31" s="23"/>
      <c r="Q31" s="48" t="s">
        <v>25</v>
      </c>
      <c r="R31" s="73">
        <f>SUMIF(G30:G40,Q31,H30:H40)</f>
        <v>62.9</v>
      </c>
      <c r="S31" s="48" t="s">
        <v>29</v>
      </c>
      <c r="T31" s="48">
        <f>SUMIF(K30:K43,S31,L30:L43)</f>
        <v>0</v>
      </c>
      <c r="U31" s="48" t="s">
        <v>30</v>
      </c>
      <c r="V31" s="49">
        <f>ROUND(V30*W31,1)</f>
        <v>1282.4</v>
      </c>
      <c r="W31" s="51">
        <v>0.8</v>
      </c>
    </row>
    <row r="32" spans="1:23">
      <c r="A32" s="19">
        <v>3</v>
      </c>
      <c r="B32" s="20">
        <v>43181</v>
      </c>
      <c r="C32" s="21" t="s">
        <v>184</v>
      </c>
      <c r="D32" s="22">
        <v>2</v>
      </c>
      <c r="E32" s="23">
        <v>358.2</v>
      </c>
      <c r="F32" s="24" t="s">
        <v>24</v>
      </c>
      <c r="G32" s="19" t="s">
        <v>25</v>
      </c>
      <c r="H32" s="25">
        <f t="shared" si="4"/>
        <v>17.9</v>
      </c>
      <c r="J32" s="20">
        <v>43188</v>
      </c>
      <c r="K32" s="19" t="s">
        <v>26</v>
      </c>
      <c r="L32" s="23">
        <v>70</v>
      </c>
      <c r="M32" s="20" t="s">
        <v>32</v>
      </c>
      <c r="N32" s="19" t="s">
        <v>56</v>
      </c>
      <c r="O32" s="23"/>
      <c r="Q32" s="48" t="s">
        <v>32</v>
      </c>
      <c r="R32" s="48">
        <f>SUMIF(G30:G40,Q32,H30:H40)</f>
        <v>0</v>
      </c>
      <c r="S32" s="48" t="s">
        <v>33</v>
      </c>
      <c r="T32" s="48">
        <f>SUMIF(K30:K43,S32,L30:L43)</f>
        <v>0</v>
      </c>
      <c r="U32" s="48" t="s">
        <v>117</v>
      </c>
      <c r="V32" s="49">
        <f>ROUND(V30*W32,1)</f>
        <v>320.6</v>
      </c>
      <c r="W32" s="51">
        <v>0.2</v>
      </c>
    </row>
    <row r="33" spans="1:23">
      <c r="A33" s="19">
        <v>4</v>
      </c>
      <c r="B33" s="20">
        <v>43182</v>
      </c>
      <c r="C33" s="21">
        <v>3.23</v>
      </c>
      <c r="D33" s="22">
        <v>1</v>
      </c>
      <c r="E33" s="23">
        <v>179.1</v>
      </c>
      <c r="F33" s="24" t="s">
        <v>46</v>
      </c>
      <c r="G33" s="19" t="s">
        <v>25</v>
      </c>
      <c r="H33" s="25">
        <f t="shared" si="4"/>
        <v>9</v>
      </c>
      <c r="J33" s="20"/>
      <c r="K33" s="19"/>
      <c r="L33" s="23"/>
      <c r="M33" s="20"/>
      <c r="N33" s="19"/>
      <c r="O33" s="23"/>
      <c r="Q33" s="48" t="s">
        <v>35</v>
      </c>
      <c r="R33" s="48">
        <f>SUMIF(G30:G40,Q33,H30:H40)</f>
        <v>21.4</v>
      </c>
      <c r="S33" s="48" t="s">
        <v>36</v>
      </c>
      <c r="T33" s="48">
        <f>SUMIF(K30:K40,S33,L30:L40)</f>
        <v>0</v>
      </c>
      <c r="U33" s="48"/>
      <c r="V33" s="52"/>
      <c r="W33" s="51"/>
    </row>
    <row r="34" spans="1:23">
      <c r="A34" s="19">
        <v>5</v>
      </c>
      <c r="B34" s="20">
        <v>43183</v>
      </c>
      <c r="C34" s="21">
        <v>3.24</v>
      </c>
      <c r="D34" s="22">
        <v>1</v>
      </c>
      <c r="E34" s="23">
        <v>179.1</v>
      </c>
      <c r="F34" s="24" t="s">
        <v>46</v>
      </c>
      <c r="G34" s="19" t="s">
        <v>25</v>
      </c>
      <c r="H34" s="25">
        <f t="shared" si="4"/>
        <v>9</v>
      </c>
      <c r="J34" s="20"/>
      <c r="K34" s="19"/>
      <c r="L34" s="23"/>
      <c r="M34" s="20"/>
      <c r="N34" s="19"/>
      <c r="O34" s="23"/>
      <c r="Q34" s="48" t="s">
        <v>30</v>
      </c>
      <c r="R34" s="48">
        <f>SUMIF(G30:G40,Q34,H30:H40)</f>
        <v>7.5</v>
      </c>
      <c r="S34" s="48" t="s">
        <v>38</v>
      </c>
      <c r="T34" s="48">
        <f>SUMIF(K30:K43,S34,L30:L43)</f>
        <v>0</v>
      </c>
      <c r="U34" s="48"/>
      <c r="V34" s="52"/>
      <c r="W34" s="51"/>
    </row>
    <row r="35" spans="1:23">
      <c r="A35" s="19">
        <v>6</v>
      </c>
      <c r="B35" s="20">
        <v>43184</v>
      </c>
      <c r="C35" s="20" t="s">
        <v>173</v>
      </c>
      <c r="D35" s="22">
        <v>3</v>
      </c>
      <c r="E35" s="23">
        <f>ROUND(1800/10*3,1)</f>
        <v>540</v>
      </c>
      <c r="F35" s="24" t="s">
        <v>37</v>
      </c>
      <c r="G35" s="19" t="s">
        <v>25</v>
      </c>
      <c r="H35" s="25">
        <f t="shared" si="4"/>
        <v>27</v>
      </c>
      <c r="J35" s="20"/>
      <c r="K35" s="19"/>
      <c r="L35" s="23"/>
      <c r="M35" s="20"/>
      <c r="N35" s="19"/>
      <c r="O35" s="23"/>
      <c r="Q35" s="48" t="s">
        <v>39</v>
      </c>
      <c r="R35" s="48">
        <f>SUMIF(G30:G40,Q35,H30:H40)</f>
        <v>0</v>
      </c>
      <c r="S35" s="48" t="s">
        <v>40</v>
      </c>
      <c r="T35" s="48">
        <f>SUMIF(K30:K43,S35,L30:L43)</f>
        <v>0</v>
      </c>
      <c r="U35" s="48"/>
      <c r="V35" s="48"/>
      <c r="W35" s="50"/>
    </row>
    <row r="36" spans="1:15">
      <c r="A36" s="19">
        <v>7</v>
      </c>
      <c r="B36" s="20">
        <v>43184</v>
      </c>
      <c r="C36" s="20" t="s">
        <v>185</v>
      </c>
      <c r="D36" s="22">
        <v>2</v>
      </c>
      <c r="E36" s="23">
        <v>428.4</v>
      </c>
      <c r="F36" s="24" t="s">
        <v>46</v>
      </c>
      <c r="G36" s="19" t="s">
        <v>35</v>
      </c>
      <c r="H36" s="25">
        <f t="shared" si="4"/>
        <v>21.4</v>
      </c>
      <c r="J36" s="20"/>
      <c r="K36" s="19"/>
      <c r="L36" s="23"/>
      <c r="M36" s="20"/>
      <c r="N36" s="19"/>
      <c r="O36" s="23"/>
    </row>
    <row r="37" spans="1:15">
      <c r="A37" s="19">
        <v>8</v>
      </c>
      <c r="B37" s="20"/>
      <c r="C37" s="20"/>
      <c r="D37" s="22"/>
      <c r="E37" s="23"/>
      <c r="F37" s="24"/>
      <c r="G37" s="19"/>
      <c r="H37" s="19"/>
      <c r="J37" s="20"/>
      <c r="K37" s="19"/>
      <c r="L37" s="23"/>
      <c r="M37" s="20"/>
      <c r="N37" s="19"/>
      <c r="O37" s="23"/>
    </row>
    <row r="38" spans="1:15">
      <c r="A38" s="19">
        <v>9</v>
      </c>
      <c r="B38" s="20"/>
      <c r="C38" s="20"/>
      <c r="D38" s="22"/>
      <c r="E38" s="23"/>
      <c r="F38" s="24"/>
      <c r="G38" s="19"/>
      <c r="H38" s="19"/>
      <c r="J38" s="20"/>
      <c r="K38" s="19"/>
      <c r="L38" s="23"/>
      <c r="M38" s="20"/>
      <c r="N38" s="19"/>
      <c r="O38" s="23"/>
    </row>
    <row r="39" spans="1:15">
      <c r="A39" s="19">
        <v>10</v>
      </c>
      <c r="B39" s="20"/>
      <c r="C39" s="20"/>
      <c r="D39" s="22"/>
      <c r="E39" s="23"/>
      <c r="F39" s="24"/>
      <c r="G39" s="19"/>
      <c r="H39" s="19"/>
      <c r="J39" s="20"/>
      <c r="K39" s="19"/>
      <c r="L39" s="23"/>
      <c r="M39" s="20"/>
      <c r="N39" s="19"/>
      <c r="O39" s="23"/>
    </row>
    <row r="40" spans="1:15">
      <c r="A40" s="19">
        <v>11</v>
      </c>
      <c r="B40" s="20"/>
      <c r="C40" s="20"/>
      <c r="D40" s="22"/>
      <c r="E40" s="23"/>
      <c r="F40" s="24"/>
      <c r="G40" s="19"/>
      <c r="H40" s="19"/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13"/>
      <c r="C41" s="14"/>
      <c r="D41" s="15">
        <f>SUM(D42:D54)</f>
        <v>27</v>
      </c>
      <c r="E41" s="16">
        <f>SUM(E42:E54)</f>
        <v>5211.9</v>
      </c>
      <c r="F41" s="14"/>
      <c r="G41" s="14"/>
      <c r="H41" s="16">
        <f>SUM(H42:H54)</f>
        <v>260.5</v>
      </c>
      <c r="J41" s="14"/>
      <c r="K41" s="14"/>
      <c r="L41" s="16">
        <f>SUM(L42:L54)</f>
        <v>0</v>
      </c>
      <c r="M41" s="14"/>
      <c r="N41" s="14"/>
      <c r="O41" s="16"/>
    </row>
    <row r="42" spans="1:15">
      <c r="A42" s="19">
        <v>1</v>
      </c>
      <c r="B42" s="20">
        <v>43184</v>
      </c>
      <c r="C42" s="20" t="s">
        <v>186</v>
      </c>
      <c r="D42" s="22">
        <v>7</v>
      </c>
      <c r="E42" s="23">
        <f>ROUND(1800/10*7,1)</f>
        <v>1260</v>
      </c>
      <c r="F42" s="24" t="s">
        <v>37</v>
      </c>
      <c r="G42" s="19" t="s">
        <v>25</v>
      </c>
      <c r="H42" s="25">
        <f t="shared" ref="H42:H54" si="5">ROUND(E42*0.05,1)</f>
        <v>63</v>
      </c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43194</v>
      </c>
      <c r="C43" s="21" t="s">
        <v>187</v>
      </c>
      <c r="D43" s="22">
        <v>5</v>
      </c>
      <c r="E43" s="23">
        <v>900</v>
      </c>
      <c r="F43" s="24" t="s">
        <v>37</v>
      </c>
      <c r="G43" s="19" t="s">
        <v>25</v>
      </c>
      <c r="H43" s="25">
        <f t="shared" si="5"/>
        <v>45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>
        <v>43201</v>
      </c>
      <c r="C44" s="21">
        <v>4.13</v>
      </c>
      <c r="D44" s="22">
        <v>1</v>
      </c>
      <c r="E44" s="23">
        <v>196.2</v>
      </c>
      <c r="F44" s="24" t="s">
        <v>24</v>
      </c>
      <c r="G44" s="19" t="s">
        <v>25</v>
      </c>
      <c r="H44" s="25">
        <f t="shared" si="5"/>
        <v>9.8</v>
      </c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43205</v>
      </c>
      <c r="C45" s="21" t="s">
        <v>188</v>
      </c>
      <c r="D45" s="22">
        <v>2</v>
      </c>
      <c r="E45" s="23">
        <v>392.4</v>
      </c>
      <c r="F45" s="24" t="s">
        <v>24</v>
      </c>
      <c r="G45" s="19" t="s">
        <v>25</v>
      </c>
      <c r="H45" s="25">
        <f t="shared" si="5"/>
        <v>19.6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43207</v>
      </c>
      <c r="C46" s="21">
        <v>4.17</v>
      </c>
      <c r="D46" s="22">
        <v>1</v>
      </c>
      <c r="E46" s="23">
        <v>196.2</v>
      </c>
      <c r="F46" s="24" t="s">
        <v>46</v>
      </c>
      <c r="G46" s="19" t="s">
        <v>25</v>
      </c>
      <c r="H46" s="25">
        <f t="shared" si="5"/>
        <v>9.8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43208</v>
      </c>
      <c r="C47" s="21" t="s">
        <v>189</v>
      </c>
      <c r="D47" s="22">
        <v>2</v>
      </c>
      <c r="E47" s="23">
        <v>392.4</v>
      </c>
      <c r="F47" s="24" t="s">
        <v>57</v>
      </c>
      <c r="G47" s="19" t="s">
        <v>27</v>
      </c>
      <c r="H47" s="25">
        <f t="shared" si="5"/>
        <v>19.6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43210</v>
      </c>
      <c r="C48" s="21">
        <v>4.21</v>
      </c>
      <c r="D48" s="22">
        <v>1</v>
      </c>
      <c r="E48" s="23">
        <v>196.2</v>
      </c>
      <c r="F48" s="24" t="s">
        <v>57</v>
      </c>
      <c r="G48" s="19" t="s">
        <v>27</v>
      </c>
      <c r="H48" s="25">
        <f t="shared" si="5"/>
        <v>9.8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>
        <v>43213</v>
      </c>
      <c r="C49" s="21">
        <v>4.23</v>
      </c>
      <c r="D49" s="22">
        <v>1</v>
      </c>
      <c r="E49" s="23">
        <v>196.2</v>
      </c>
      <c r="F49" s="24" t="s">
        <v>57</v>
      </c>
      <c r="G49" s="19" t="s">
        <v>27</v>
      </c>
      <c r="H49" s="25">
        <f t="shared" si="5"/>
        <v>9.8</v>
      </c>
      <c r="J49" s="20"/>
      <c r="K49" s="19"/>
      <c r="L49" s="23"/>
      <c r="M49" s="20"/>
      <c r="N49" s="19"/>
      <c r="O49" s="23"/>
    </row>
    <row r="50" spans="1:15">
      <c r="A50" s="19">
        <v>9</v>
      </c>
      <c r="B50" s="20">
        <v>43213</v>
      </c>
      <c r="C50" s="21">
        <v>4.24</v>
      </c>
      <c r="D50" s="22">
        <v>1</v>
      </c>
      <c r="E50" s="23">
        <v>196.2</v>
      </c>
      <c r="F50" s="32" t="s">
        <v>57</v>
      </c>
      <c r="G50" s="19" t="s">
        <v>27</v>
      </c>
      <c r="H50" s="25">
        <f t="shared" si="5"/>
        <v>9.8</v>
      </c>
      <c r="J50" s="20"/>
      <c r="K50" s="19"/>
      <c r="L50" s="23"/>
      <c r="M50" s="20"/>
      <c r="N50" s="19"/>
      <c r="O50" s="23"/>
    </row>
    <row r="51" spans="1:15">
      <c r="A51" s="19">
        <v>10</v>
      </c>
      <c r="B51" s="20">
        <v>43215</v>
      </c>
      <c r="C51" s="21">
        <v>4.25</v>
      </c>
      <c r="D51" s="22">
        <v>1</v>
      </c>
      <c r="E51" s="23">
        <v>196.2</v>
      </c>
      <c r="F51" s="24" t="s">
        <v>57</v>
      </c>
      <c r="G51" s="19" t="s">
        <v>27</v>
      </c>
      <c r="H51" s="25">
        <f t="shared" si="5"/>
        <v>9.8</v>
      </c>
      <c r="J51" s="20"/>
      <c r="K51" s="19"/>
      <c r="L51" s="23"/>
      <c r="M51" s="20"/>
      <c r="N51" s="19"/>
      <c r="O51" s="23"/>
    </row>
    <row r="52" spans="1:15">
      <c r="A52" s="19"/>
      <c r="B52" s="20">
        <v>43216</v>
      </c>
      <c r="C52" s="21">
        <v>4.26</v>
      </c>
      <c r="D52" s="22">
        <v>1</v>
      </c>
      <c r="E52" s="23">
        <v>196.2</v>
      </c>
      <c r="F52" s="24" t="s">
        <v>57</v>
      </c>
      <c r="G52" s="19" t="s">
        <v>27</v>
      </c>
      <c r="H52" s="25">
        <f t="shared" si="5"/>
        <v>9.8</v>
      </c>
      <c r="J52" s="20"/>
      <c r="K52" s="19"/>
      <c r="L52" s="23"/>
      <c r="M52" s="20"/>
      <c r="N52" s="19"/>
      <c r="O52" s="23"/>
    </row>
    <row r="53" spans="1:15">
      <c r="A53" s="19"/>
      <c r="B53" s="20">
        <v>43217</v>
      </c>
      <c r="C53" s="21" t="s">
        <v>190</v>
      </c>
      <c r="D53" s="22">
        <v>2</v>
      </c>
      <c r="E53" s="23">
        <v>392.4</v>
      </c>
      <c r="F53" s="24" t="s">
        <v>57</v>
      </c>
      <c r="G53" s="19" t="s">
        <v>27</v>
      </c>
      <c r="H53" s="25">
        <f t="shared" si="5"/>
        <v>19.6</v>
      </c>
      <c r="J53" s="20"/>
      <c r="K53" s="19"/>
      <c r="L53" s="23"/>
      <c r="M53" s="20"/>
      <c r="N53" s="19"/>
      <c r="O53" s="23"/>
    </row>
    <row r="54" spans="1:15">
      <c r="A54" s="19">
        <v>11</v>
      </c>
      <c r="B54" s="20">
        <v>43207</v>
      </c>
      <c r="C54" s="21" t="s">
        <v>74</v>
      </c>
      <c r="D54" s="22">
        <v>2</v>
      </c>
      <c r="E54" s="23">
        <f>ROUND(1503.9/6*2,1)</f>
        <v>501.3</v>
      </c>
      <c r="F54" s="24" t="s">
        <v>24</v>
      </c>
      <c r="G54" s="19" t="s">
        <v>25</v>
      </c>
      <c r="H54" s="25">
        <f t="shared" si="5"/>
        <v>25.1</v>
      </c>
      <c r="J54" s="20"/>
      <c r="K54" s="19"/>
      <c r="L54" s="23"/>
      <c r="M54" s="20"/>
      <c r="N54" s="19"/>
      <c r="O54" s="23"/>
    </row>
    <row r="55" ht="30" customHeight="1" spans="1:15">
      <c r="A55" s="12" t="s">
        <v>76</v>
      </c>
      <c r="B55" s="13"/>
      <c r="C55" s="14"/>
      <c r="D55" s="15">
        <f t="shared" ref="D55:H55" si="6">SUM(D56:D66)</f>
        <v>4</v>
      </c>
      <c r="E55" s="16">
        <f t="shared" si="6"/>
        <v>1002.6</v>
      </c>
      <c r="F55" s="14"/>
      <c r="G55" s="14"/>
      <c r="H55" s="16">
        <f t="shared" si="6"/>
        <v>50.1</v>
      </c>
      <c r="J55" s="14"/>
      <c r="K55" s="14"/>
      <c r="L55" s="16">
        <f>SUM(L56:L66)</f>
        <v>0</v>
      </c>
      <c r="M55" s="14"/>
      <c r="N55" s="14"/>
      <c r="O55" s="16"/>
    </row>
    <row r="56" spans="1:15">
      <c r="A56" s="19">
        <v>1</v>
      </c>
      <c r="B56" s="20">
        <v>43207</v>
      </c>
      <c r="C56" s="21" t="s">
        <v>191</v>
      </c>
      <c r="D56" s="22">
        <v>4</v>
      </c>
      <c r="E56" s="23">
        <f>ROUND(1503.9/6*4,1)</f>
        <v>1002.6</v>
      </c>
      <c r="F56" s="24" t="s">
        <v>24</v>
      </c>
      <c r="G56" s="19" t="s">
        <v>25</v>
      </c>
      <c r="H56" s="25">
        <f>ROUND(E56*0.05,1)</f>
        <v>50.1</v>
      </c>
      <c r="J56" s="40"/>
      <c r="K56" s="19"/>
      <c r="L56" s="23"/>
      <c r="M56" s="40"/>
      <c r="N56" s="19"/>
      <c r="O56" s="23"/>
    </row>
    <row r="57" spans="1:15">
      <c r="A57" s="19">
        <v>2</v>
      </c>
      <c r="B57" s="20"/>
      <c r="C57" s="20"/>
      <c r="D57" s="22"/>
      <c r="E57" s="23"/>
      <c r="F57" s="19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3</v>
      </c>
      <c r="B58" s="20"/>
      <c r="C58" s="20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4</v>
      </c>
      <c r="B59" s="20"/>
      <c r="C59" s="20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5</v>
      </c>
      <c r="B60" s="20"/>
      <c r="C60" s="20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6</v>
      </c>
      <c r="B61" s="20"/>
      <c r="C61" s="20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7</v>
      </c>
      <c r="B62" s="20"/>
      <c r="C62" s="20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8</v>
      </c>
      <c r="B63" s="20"/>
      <c r="C63" s="20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9</v>
      </c>
      <c r="B64" s="20"/>
      <c r="C64" s="20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spans="1:15">
      <c r="A65" s="19">
        <v>10</v>
      </c>
      <c r="B65" s="20"/>
      <c r="C65" s="20"/>
      <c r="D65" s="22"/>
      <c r="E65" s="23"/>
      <c r="F65" s="24"/>
      <c r="G65" s="19"/>
      <c r="H65" s="19"/>
      <c r="J65" s="20"/>
      <c r="K65" s="19"/>
      <c r="L65" s="23"/>
      <c r="M65" s="20"/>
      <c r="N65" s="19"/>
      <c r="O65" s="23"/>
    </row>
    <row r="66" spans="1:15">
      <c r="A66" s="19">
        <v>11</v>
      </c>
      <c r="B66" s="20"/>
      <c r="C66" s="20"/>
      <c r="D66" s="22"/>
      <c r="E66" s="23"/>
      <c r="F66" s="24"/>
      <c r="G66" s="19"/>
      <c r="H66" s="19"/>
      <c r="J66" s="20"/>
      <c r="K66" s="19"/>
      <c r="L66" s="23"/>
      <c r="M66" s="20"/>
      <c r="N66" s="19"/>
      <c r="O66" s="23"/>
    </row>
    <row r="67" ht="30" customHeight="1" spans="1:15">
      <c r="A67" s="12" t="s">
        <v>80</v>
      </c>
      <c r="B67" s="13"/>
      <c r="C67" s="14"/>
      <c r="D67" s="15">
        <f t="shared" ref="D67:H67" si="7">SUM(D68:D78)</f>
        <v>0</v>
      </c>
      <c r="E67" s="16">
        <f t="shared" si="7"/>
        <v>0</v>
      </c>
      <c r="F67" s="14"/>
      <c r="G67" s="14"/>
      <c r="H67" s="16">
        <f t="shared" si="7"/>
        <v>0</v>
      </c>
      <c r="J67" s="14"/>
      <c r="K67" s="14"/>
      <c r="L67" s="16">
        <f>SUM(L68:L78)</f>
        <v>0</v>
      </c>
      <c r="M67" s="14"/>
      <c r="N67" s="14"/>
      <c r="O67" s="16"/>
    </row>
    <row r="68" spans="1:15">
      <c r="A68" s="19">
        <v>1</v>
      </c>
      <c r="B68" s="20"/>
      <c r="C68" s="20"/>
      <c r="D68" s="22"/>
      <c r="E68" s="23"/>
      <c r="F68" s="24"/>
      <c r="G68" s="19"/>
      <c r="H68" s="19"/>
      <c r="J68" s="40"/>
      <c r="K68" s="19"/>
      <c r="L68" s="23"/>
      <c r="M68" s="40"/>
      <c r="N68" s="19"/>
      <c r="O68" s="23"/>
    </row>
    <row r="69" spans="1:15">
      <c r="A69" s="19">
        <v>2</v>
      </c>
      <c r="B69" s="20"/>
      <c r="C69" s="20"/>
      <c r="D69" s="22"/>
      <c r="E69" s="23"/>
      <c r="F69" s="19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3</v>
      </c>
      <c r="B70" s="20"/>
      <c r="C70" s="20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4</v>
      </c>
      <c r="B71" s="20"/>
      <c r="C71" s="20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5</v>
      </c>
      <c r="B72" s="20"/>
      <c r="C72" s="20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6</v>
      </c>
      <c r="B73" s="20"/>
      <c r="C73" s="20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7</v>
      </c>
      <c r="B74" s="20"/>
      <c r="C74" s="20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8</v>
      </c>
      <c r="B75" s="20"/>
      <c r="C75" s="20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9</v>
      </c>
      <c r="B76" s="20"/>
      <c r="C76" s="20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spans="1:15">
      <c r="A77" s="19">
        <v>10</v>
      </c>
      <c r="B77" s="20"/>
      <c r="C77" s="20"/>
      <c r="D77" s="22"/>
      <c r="E77" s="23"/>
      <c r="F77" s="24"/>
      <c r="G77" s="19"/>
      <c r="H77" s="19"/>
      <c r="J77" s="20"/>
      <c r="K77" s="19"/>
      <c r="L77" s="23"/>
      <c r="M77" s="20"/>
      <c r="N77" s="19"/>
      <c r="O77" s="23"/>
    </row>
    <row r="78" spans="1:15">
      <c r="A78" s="19">
        <v>11</v>
      </c>
      <c r="B78" s="20"/>
      <c r="C78" s="20"/>
      <c r="D78" s="22"/>
      <c r="E78" s="23"/>
      <c r="F78" s="24"/>
      <c r="G78" s="19"/>
      <c r="H78" s="19"/>
      <c r="J78" s="20"/>
      <c r="K78" s="19"/>
      <c r="L78" s="23"/>
      <c r="M78" s="20"/>
      <c r="N78" s="19"/>
      <c r="O78" s="23"/>
    </row>
    <row r="79" ht="30" customHeight="1" spans="1:15">
      <c r="A79" s="12" t="s">
        <v>82</v>
      </c>
      <c r="B79" s="13"/>
      <c r="C79" s="14"/>
      <c r="D79" s="15">
        <f t="shared" ref="D79:H79" si="8">SUM(D80:D90)</f>
        <v>0</v>
      </c>
      <c r="E79" s="16">
        <f t="shared" si="8"/>
        <v>0</v>
      </c>
      <c r="F79" s="14"/>
      <c r="G79" s="14"/>
      <c r="H79" s="16">
        <f t="shared" si="8"/>
        <v>0</v>
      </c>
      <c r="J79" s="14"/>
      <c r="K79" s="14"/>
      <c r="L79" s="16">
        <f>SUM(L80:L90)</f>
        <v>0</v>
      </c>
      <c r="M79" s="14"/>
      <c r="N79" s="14"/>
      <c r="O79" s="16"/>
    </row>
    <row r="80" spans="1:15">
      <c r="A80" s="19">
        <v>1</v>
      </c>
      <c r="B80" s="20"/>
      <c r="C80" s="20"/>
      <c r="D80" s="22"/>
      <c r="E80" s="23"/>
      <c r="F80" s="24"/>
      <c r="G80" s="19"/>
      <c r="H80" s="19"/>
      <c r="J80" s="40"/>
      <c r="K80" s="19"/>
      <c r="L80" s="23"/>
      <c r="M80" s="40"/>
      <c r="N80" s="19"/>
      <c r="O80" s="23"/>
    </row>
    <row r="81" spans="1:15">
      <c r="A81" s="19">
        <v>2</v>
      </c>
      <c r="B81" s="20"/>
      <c r="C81" s="20"/>
      <c r="D81" s="22"/>
      <c r="E81" s="23"/>
      <c r="F81" s="19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3</v>
      </c>
      <c r="B82" s="20"/>
      <c r="C82" s="20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4</v>
      </c>
      <c r="B83" s="20"/>
      <c r="C83" s="20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5</v>
      </c>
      <c r="B84" s="20"/>
      <c r="C84" s="20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6</v>
      </c>
      <c r="B85" s="20"/>
      <c r="C85" s="20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7</v>
      </c>
      <c r="B86" s="20"/>
      <c r="C86" s="20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8</v>
      </c>
      <c r="B87" s="20"/>
      <c r="C87" s="20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9</v>
      </c>
      <c r="B88" s="20"/>
      <c r="C88" s="20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spans="1:15">
      <c r="A89" s="19">
        <v>10</v>
      </c>
      <c r="B89" s="20"/>
      <c r="C89" s="20"/>
      <c r="D89" s="22"/>
      <c r="E89" s="23"/>
      <c r="F89" s="24"/>
      <c r="G89" s="19"/>
      <c r="H89" s="19"/>
      <c r="J89" s="20"/>
      <c r="K89" s="19"/>
      <c r="L89" s="23"/>
      <c r="M89" s="20"/>
      <c r="N89" s="19"/>
      <c r="O89" s="23"/>
    </row>
    <row r="90" spans="1:15">
      <c r="A90" s="19">
        <v>11</v>
      </c>
      <c r="B90" s="20"/>
      <c r="C90" s="20"/>
      <c r="D90" s="22"/>
      <c r="E90" s="23"/>
      <c r="F90" s="24"/>
      <c r="G90" s="19"/>
      <c r="H90" s="19"/>
      <c r="J90" s="20"/>
      <c r="K90" s="19"/>
      <c r="L90" s="23"/>
      <c r="M90" s="20"/>
      <c r="N90" s="19"/>
      <c r="O90" s="23"/>
    </row>
    <row r="91" ht="30" customHeight="1" spans="1:15">
      <c r="A91" s="12" t="s">
        <v>83</v>
      </c>
      <c r="B91" s="13"/>
      <c r="C91" s="14"/>
      <c r="D91" s="15">
        <f t="shared" ref="D91:H91" si="9">SUM(D92:D102)</f>
        <v>0</v>
      </c>
      <c r="E91" s="16">
        <f t="shared" si="9"/>
        <v>0</v>
      </c>
      <c r="F91" s="14"/>
      <c r="G91" s="14"/>
      <c r="H91" s="16">
        <f t="shared" si="9"/>
        <v>0</v>
      </c>
      <c r="J91" s="14"/>
      <c r="K91" s="14"/>
      <c r="L91" s="16">
        <f>SUM(L92:L102)</f>
        <v>0</v>
      </c>
      <c r="M91" s="14"/>
      <c r="N91" s="14"/>
      <c r="O91" s="16"/>
    </row>
    <row r="92" spans="1:15">
      <c r="A92" s="19">
        <v>1</v>
      </c>
      <c r="B92" s="20"/>
      <c r="C92" s="20"/>
      <c r="D92" s="22"/>
      <c r="E92" s="23"/>
      <c r="F92" s="24"/>
      <c r="G92" s="19"/>
      <c r="H92" s="19"/>
      <c r="J92" s="40"/>
      <c r="K92" s="19"/>
      <c r="L92" s="23"/>
      <c r="M92" s="40"/>
      <c r="N92" s="19"/>
      <c r="O92" s="23"/>
    </row>
    <row r="93" spans="1:15">
      <c r="A93" s="19">
        <v>2</v>
      </c>
      <c r="B93" s="20"/>
      <c r="C93" s="20"/>
      <c r="D93" s="22"/>
      <c r="E93" s="23"/>
      <c r="F93" s="19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3</v>
      </c>
      <c r="B94" s="20"/>
      <c r="C94" s="20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4</v>
      </c>
      <c r="B95" s="20"/>
      <c r="C95" s="20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5</v>
      </c>
      <c r="B96" s="20"/>
      <c r="C96" s="20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6</v>
      </c>
      <c r="B97" s="20"/>
      <c r="C97" s="20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7</v>
      </c>
      <c r="B98" s="20"/>
      <c r="C98" s="20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8</v>
      </c>
      <c r="B99" s="20"/>
      <c r="C99" s="20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9</v>
      </c>
      <c r="B100" s="20"/>
      <c r="C100" s="20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spans="1:15">
      <c r="A101" s="19">
        <v>10</v>
      </c>
      <c r="B101" s="20"/>
      <c r="C101" s="20"/>
      <c r="D101" s="22"/>
      <c r="E101" s="23"/>
      <c r="F101" s="24"/>
      <c r="G101" s="19"/>
      <c r="H101" s="19"/>
      <c r="J101" s="20"/>
      <c r="K101" s="19"/>
      <c r="L101" s="23"/>
      <c r="M101" s="20"/>
      <c r="N101" s="19"/>
      <c r="O101" s="23"/>
    </row>
    <row r="102" spans="1:15">
      <c r="A102" s="19">
        <v>11</v>
      </c>
      <c r="B102" s="20"/>
      <c r="C102" s="20"/>
      <c r="D102" s="22"/>
      <c r="E102" s="23"/>
      <c r="F102" s="24"/>
      <c r="G102" s="19"/>
      <c r="H102" s="19"/>
      <c r="J102" s="20"/>
      <c r="K102" s="19"/>
      <c r="L102" s="23"/>
      <c r="M102" s="20"/>
      <c r="N102" s="19"/>
      <c r="O102" s="23"/>
    </row>
    <row r="103" ht="30" customHeight="1" spans="1:15">
      <c r="A103" s="12" t="s">
        <v>84</v>
      </c>
      <c r="B103" s="13"/>
      <c r="C103" s="14"/>
      <c r="D103" s="15">
        <f t="shared" ref="D103:H103" si="10">SUM(D104:D114)</f>
        <v>0</v>
      </c>
      <c r="E103" s="16">
        <f t="shared" si="10"/>
        <v>0</v>
      </c>
      <c r="F103" s="14"/>
      <c r="G103" s="14"/>
      <c r="H103" s="16">
        <f t="shared" si="10"/>
        <v>0</v>
      </c>
      <c r="J103" s="14"/>
      <c r="K103" s="14"/>
      <c r="L103" s="16">
        <f>SUM(L104:L114)</f>
        <v>0</v>
      </c>
      <c r="M103" s="14"/>
      <c r="N103" s="14"/>
      <c r="O103" s="16"/>
    </row>
    <row r="104" spans="1:15">
      <c r="A104" s="19">
        <v>1</v>
      </c>
      <c r="B104" s="20"/>
      <c r="C104" s="20"/>
      <c r="D104" s="22"/>
      <c r="E104" s="23"/>
      <c r="F104" s="24"/>
      <c r="G104" s="19"/>
      <c r="H104" s="19"/>
      <c r="J104" s="40"/>
      <c r="K104" s="19"/>
      <c r="L104" s="23"/>
      <c r="M104" s="40"/>
      <c r="N104" s="19"/>
      <c r="O104" s="23"/>
    </row>
    <row r="105" spans="1:15">
      <c r="A105" s="19">
        <v>2</v>
      </c>
      <c r="B105" s="20"/>
      <c r="C105" s="20"/>
      <c r="D105" s="22"/>
      <c r="E105" s="23"/>
      <c r="F105" s="19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3</v>
      </c>
      <c r="B106" s="20"/>
      <c r="C106" s="20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4</v>
      </c>
      <c r="B107" s="20"/>
      <c r="C107" s="20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5</v>
      </c>
      <c r="B108" s="20"/>
      <c r="C108" s="20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6</v>
      </c>
      <c r="B109" s="20"/>
      <c r="C109" s="20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7</v>
      </c>
      <c r="B110" s="20"/>
      <c r="C110" s="20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8</v>
      </c>
      <c r="B111" s="20"/>
      <c r="C111" s="20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9</v>
      </c>
      <c r="B112" s="20"/>
      <c r="C112" s="20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spans="1:15">
      <c r="A113" s="19">
        <v>10</v>
      </c>
      <c r="B113" s="20"/>
      <c r="C113" s="20"/>
      <c r="D113" s="22"/>
      <c r="E113" s="23"/>
      <c r="F113" s="24"/>
      <c r="G113" s="19"/>
      <c r="H113" s="19"/>
      <c r="J113" s="20"/>
      <c r="K113" s="19"/>
      <c r="L113" s="23"/>
      <c r="M113" s="20"/>
      <c r="N113" s="19"/>
      <c r="O113" s="23"/>
    </row>
    <row r="114" spans="1:15">
      <c r="A114" s="19">
        <v>11</v>
      </c>
      <c r="B114" s="20"/>
      <c r="C114" s="20"/>
      <c r="D114" s="22"/>
      <c r="E114" s="23"/>
      <c r="F114" s="24"/>
      <c r="G114" s="19"/>
      <c r="H114" s="19"/>
      <c r="J114" s="20"/>
      <c r="K114" s="19"/>
      <c r="L114" s="23"/>
      <c r="M114" s="20"/>
      <c r="N114" s="19"/>
      <c r="O114" s="23"/>
    </row>
    <row r="115" ht="30" customHeight="1" spans="1:15">
      <c r="A115" s="12" t="s">
        <v>85</v>
      </c>
      <c r="B115" s="13"/>
      <c r="C115" s="14"/>
      <c r="D115" s="15">
        <f t="shared" ref="D115:H115" si="11">SUM(D116:D126)</f>
        <v>0</v>
      </c>
      <c r="E115" s="16">
        <f t="shared" si="11"/>
        <v>0</v>
      </c>
      <c r="F115" s="14"/>
      <c r="G115" s="14"/>
      <c r="H115" s="16">
        <f t="shared" si="11"/>
        <v>0</v>
      </c>
      <c r="J115" s="14"/>
      <c r="K115" s="14"/>
      <c r="L115" s="16">
        <f>SUM(L116:L126)</f>
        <v>0</v>
      </c>
      <c r="M115" s="14"/>
      <c r="N115" s="14"/>
      <c r="O115" s="16"/>
    </row>
    <row r="116" spans="1:15">
      <c r="A116" s="19">
        <v>1</v>
      </c>
      <c r="B116" s="20"/>
      <c r="C116" s="20"/>
      <c r="D116" s="22"/>
      <c r="E116" s="23"/>
      <c r="F116" s="24"/>
      <c r="G116" s="19"/>
      <c r="H116" s="19"/>
      <c r="J116" s="40"/>
      <c r="K116" s="19"/>
      <c r="L116" s="23"/>
      <c r="M116" s="40"/>
      <c r="N116" s="19"/>
      <c r="O116" s="23"/>
    </row>
    <row r="117" spans="1:15">
      <c r="A117" s="19">
        <v>2</v>
      </c>
      <c r="B117" s="20"/>
      <c r="C117" s="20"/>
      <c r="D117" s="22"/>
      <c r="E117" s="23"/>
      <c r="F117" s="19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3</v>
      </c>
      <c r="B118" s="20"/>
      <c r="C118" s="20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4</v>
      </c>
      <c r="B119" s="20"/>
      <c r="C119" s="20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5</v>
      </c>
      <c r="B120" s="20"/>
      <c r="C120" s="20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6</v>
      </c>
      <c r="B121" s="20"/>
      <c r="C121" s="20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7</v>
      </c>
      <c r="B122" s="20"/>
      <c r="C122" s="20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8</v>
      </c>
      <c r="B123" s="20"/>
      <c r="C123" s="20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9</v>
      </c>
      <c r="B124" s="20"/>
      <c r="C124" s="20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spans="1:15">
      <c r="A125" s="19">
        <v>10</v>
      </c>
      <c r="B125" s="20"/>
      <c r="C125" s="20"/>
      <c r="D125" s="22"/>
      <c r="E125" s="23"/>
      <c r="F125" s="24"/>
      <c r="G125" s="19"/>
      <c r="H125" s="19"/>
      <c r="J125" s="20"/>
      <c r="K125" s="19"/>
      <c r="L125" s="23"/>
      <c r="M125" s="20"/>
      <c r="N125" s="19"/>
      <c r="O125" s="23"/>
    </row>
    <row r="126" spans="1:15">
      <c r="A126" s="19">
        <v>11</v>
      </c>
      <c r="B126" s="20"/>
      <c r="C126" s="20"/>
      <c r="D126" s="22"/>
      <c r="E126" s="23"/>
      <c r="F126" s="24"/>
      <c r="G126" s="19"/>
      <c r="H126" s="19"/>
      <c r="J126" s="20"/>
      <c r="K126" s="19"/>
      <c r="L126" s="23"/>
      <c r="M126" s="20"/>
      <c r="N126" s="19"/>
      <c r="O126" s="23"/>
    </row>
    <row r="127" ht="30" customHeight="1" spans="1:15">
      <c r="A127" s="12" t="s">
        <v>86</v>
      </c>
      <c r="B127" s="13"/>
      <c r="C127" s="14"/>
      <c r="D127" s="15">
        <f t="shared" ref="D127:H127" si="12">SUM(D128:D138)</f>
        <v>0</v>
      </c>
      <c r="E127" s="16">
        <f t="shared" si="12"/>
        <v>0</v>
      </c>
      <c r="F127" s="14"/>
      <c r="G127" s="14"/>
      <c r="H127" s="16">
        <f t="shared" si="12"/>
        <v>0</v>
      </c>
      <c r="J127" s="14"/>
      <c r="K127" s="14"/>
      <c r="L127" s="16">
        <f>SUM(L128:L138)</f>
        <v>0</v>
      </c>
      <c r="M127" s="14"/>
      <c r="N127" s="14"/>
      <c r="O127" s="16"/>
    </row>
    <row r="128" spans="1:15">
      <c r="A128" s="19">
        <v>1</v>
      </c>
      <c r="B128" s="20"/>
      <c r="C128" s="20"/>
      <c r="D128" s="22"/>
      <c r="E128" s="23"/>
      <c r="F128" s="24"/>
      <c r="G128" s="19"/>
      <c r="H128" s="19"/>
      <c r="J128" s="40"/>
      <c r="K128" s="19"/>
      <c r="L128" s="23"/>
      <c r="M128" s="40"/>
      <c r="N128" s="19"/>
      <c r="O128" s="23"/>
    </row>
    <row r="129" spans="1:15">
      <c r="A129" s="19">
        <v>2</v>
      </c>
      <c r="B129" s="20"/>
      <c r="C129" s="20"/>
      <c r="D129" s="22"/>
      <c r="E129" s="23"/>
      <c r="F129" s="19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3</v>
      </c>
      <c r="B130" s="20"/>
      <c r="C130" s="20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4</v>
      </c>
      <c r="B131" s="20"/>
      <c r="C131" s="20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5</v>
      </c>
      <c r="B132" s="20"/>
      <c r="C132" s="20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6</v>
      </c>
      <c r="B133" s="20"/>
      <c r="C133" s="20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7</v>
      </c>
      <c r="B134" s="20"/>
      <c r="C134" s="20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8</v>
      </c>
      <c r="B135" s="20"/>
      <c r="C135" s="20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9</v>
      </c>
      <c r="B136" s="20"/>
      <c r="C136" s="20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spans="1:15">
      <c r="A137" s="19">
        <v>10</v>
      </c>
      <c r="B137" s="20"/>
      <c r="C137" s="20"/>
      <c r="D137" s="22"/>
      <c r="E137" s="23"/>
      <c r="F137" s="24"/>
      <c r="G137" s="19"/>
      <c r="H137" s="19"/>
      <c r="J137" s="20"/>
      <c r="K137" s="19"/>
      <c r="L137" s="23"/>
      <c r="M137" s="20"/>
      <c r="N137" s="19"/>
      <c r="O137" s="23"/>
    </row>
    <row r="138" spans="1:15">
      <c r="A138" s="19">
        <v>11</v>
      </c>
      <c r="B138" s="20"/>
      <c r="C138" s="20"/>
      <c r="D138" s="22"/>
      <c r="E138" s="23"/>
      <c r="F138" s="24"/>
      <c r="G138" s="19"/>
      <c r="H138" s="19"/>
      <c r="J138" s="20"/>
      <c r="K138" s="19"/>
      <c r="L138" s="23"/>
      <c r="M138" s="20"/>
      <c r="N138" s="19"/>
      <c r="O138" s="23"/>
    </row>
    <row r="139" ht="30" customHeight="1" spans="1:15">
      <c r="A139" s="12" t="s">
        <v>87</v>
      </c>
      <c r="B139" s="13"/>
      <c r="C139" s="14"/>
      <c r="D139" s="15">
        <f t="shared" ref="D139:H139" si="13">SUM(D140:D150)</f>
        <v>0</v>
      </c>
      <c r="E139" s="16">
        <f t="shared" si="13"/>
        <v>0</v>
      </c>
      <c r="F139" s="14"/>
      <c r="G139" s="14"/>
      <c r="H139" s="16">
        <f t="shared" si="13"/>
        <v>0</v>
      </c>
      <c r="J139" s="14"/>
      <c r="K139" s="14"/>
      <c r="L139" s="16">
        <f>SUM(L140:L150)</f>
        <v>0</v>
      </c>
      <c r="M139" s="14"/>
      <c r="N139" s="14"/>
      <c r="O139" s="16"/>
    </row>
    <row r="140" spans="1:15">
      <c r="A140" s="19">
        <v>1</v>
      </c>
      <c r="B140" s="20"/>
      <c r="C140" s="20"/>
      <c r="D140" s="22"/>
      <c r="E140" s="23"/>
      <c r="F140" s="24"/>
      <c r="G140" s="19"/>
      <c r="H140" s="19"/>
      <c r="J140" s="40"/>
      <c r="K140" s="19"/>
      <c r="L140" s="23"/>
      <c r="M140" s="40"/>
      <c r="N140" s="19"/>
      <c r="O140" s="23"/>
    </row>
    <row r="141" spans="1:15">
      <c r="A141" s="19">
        <v>2</v>
      </c>
      <c r="B141" s="20"/>
      <c r="C141" s="20"/>
      <c r="D141" s="22"/>
      <c r="E141" s="23"/>
      <c r="F141" s="19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3</v>
      </c>
      <c r="B142" s="20"/>
      <c r="C142" s="20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4</v>
      </c>
      <c r="B143" s="20"/>
      <c r="C143" s="20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5</v>
      </c>
      <c r="B144" s="20"/>
      <c r="C144" s="20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6</v>
      </c>
      <c r="B145" s="20"/>
      <c r="C145" s="20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7</v>
      </c>
      <c r="B146" s="20"/>
      <c r="C146" s="20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8</v>
      </c>
      <c r="B147" s="20"/>
      <c r="C147" s="20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9</v>
      </c>
      <c r="B148" s="20"/>
      <c r="C148" s="20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  <row r="149" spans="1:15">
      <c r="A149" s="19">
        <v>10</v>
      </c>
      <c r="B149" s="20"/>
      <c r="C149" s="20"/>
      <c r="D149" s="22"/>
      <c r="E149" s="23"/>
      <c r="F149" s="24"/>
      <c r="G149" s="19"/>
      <c r="H149" s="19"/>
      <c r="J149" s="20"/>
      <c r="K149" s="19"/>
      <c r="L149" s="23"/>
      <c r="M149" s="20"/>
      <c r="N149" s="19"/>
      <c r="O149" s="23"/>
    </row>
    <row r="150" spans="1:15">
      <c r="A150" s="19">
        <v>11</v>
      </c>
      <c r="B150" s="20"/>
      <c r="C150" s="20"/>
      <c r="D150" s="22"/>
      <c r="E150" s="23"/>
      <c r="F150" s="24"/>
      <c r="G150" s="19"/>
      <c r="H150" s="19"/>
      <c r="J150" s="20"/>
      <c r="K150" s="19"/>
      <c r="L150" s="23"/>
      <c r="M150" s="20"/>
      <c r="N150" s="19"/>
      <c r="O150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M6 G19 G54 G56 G31:G32 G43:G53">
      <formula1>"王,娟,蕾,敏,佩,松"</formula1>
    </dataValidation>
    <dataValidation type="list" allowBlank="1" showInputMessage="1" showErrorMessage="1" sqref="F16 F28 F40 F66 F78 F90 F102 F114 F126 F138 F150">
      <formula1>"小猪,蚂蚁,BNB,途家,闲鱼"</formula1>
    </dataValidation>
    <dataValidation type="list" allowBlank="1" showInputMessage="1" showErrorMessage="1" sqref="G18 G30 G42 G6:G16 G20:G28 G33:G40 G57:G66 G68:G78 G80:G90 G92:G102 G104:G114 G116:G126 G128:G138 G140:G150 N7:N16 N18:N28 N30:N40 N42:N52 N53:N54 N56:N66 N68:N78 N80:N90 N92:N102 N104:N114 N116:N126 N128:N138 N140:N150">
      <formula1>"王,娟,敏,蕾,佩,松"</formula1>
    </dataValidation>
    <dataValidation type="list" allowBlank="1" showInputMessage="1" sqref="F30 F42 F6:F15 F18:F27 F33:F39 F57:F65 F68:F77 F80:F89 F92:F101 F104:F113 F116:F125 F128:F137 F140:F149">
      <formula1>"小猪,蚂蚁,BNB,途家,闲鱼,线下"</formula1>
    </dataValidation>
    <dataValidation type="list" allowBlank="1" showInputMessage="1" sqref="F54 F56 F43:F53">
      <formula1>"小猪,蚂蚁,BNB,途家,闲鱼"</formula1>
    </dataValidation>
    <dataValidation type="list" allowBlank="1" showInputMessage="1" showErrorMessage="1" sqref="F31:F32">
      <formula1>"小猪,蚂蚁,BNB,途家,闲鱼,线下"</formula1>
    </dataValidation>
    <dataValidation type="list" allowBlank="1" showInputMessage="1" showErrorMessage="1" sqref="K6:K16 K18:K28 K30:K40 K42:K52 K53:K54 K56:K66 K68:K78 K80:K90 K92:K102 K104:K114 K116:K126 K128:K138 K140:K150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9"/>
  </sheetPr>
  <dimension ref="A1:W152"/>
  <sheetViews>
    <sheetView zoomScale="85" zoomScaleNormal="85" workbookViewId="0">
      <pane xSplit="1" ySplit="4" topLeftCell="B43" activePane="bottomRight" state="frozen"/>
      <selection/>
      <selection pane="topRight"/>
      <selection pane="bottomLeft"/>
      <selection pane="bottomRight" activeCell="B57" sqref="B57"/>
    </sheetView>
  </sheetViews>
  <sheetFormatPr defaultColWidth="9" defaultRowHeight="15"/>
  <cols>
    <col min="1" max="1" width="6" style="2" customWidth="1"/>
    <col min="2" max="2" width="10" style="64" customWidth="1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4.375" customWidth="1"/>
    <col min="17" max="17" width="5.375" customWidth="1"/>
    <col min="18" max="18" width="6.375"/>
    <col min="19" max="19" width="5.625"/>
    <col min="20" max="20" width="7.41666666666667" customWidth="1"/>
    <col min="21" max="21" width="5.625"/>
    <col min="22" max="22" width="8.375"/>
    <col min="23" max="23" width="5.625"/>
  </cols>
  <sheetData>
    <row r="1" s="4" customFormat="1" ht="39" customHeight="1" spans="1:23">
      <c r="A1" s="6" t="s">
        <v>192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65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66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66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67"/>
      <c r="C5" s="14"/>
      <c r="D5" s="15">
        <f t="shared" ref="D5:H5" si="0">SUM(D6:D19)</f>
        <v>27</v>
      </c>
      <c r="E5" s="16">
        <f t="shared" si="0"/>
        <v>4004.3</v>
      </c>
      <c r="F5" s="14"/>
      <c r="G5" s="14"/>
      <c r="H5" s="16">
        <f t="shared" si="0"/>
        <v>200.2</v>
      </c>
      <c r="J5" s="14"/>
      <c r="K5" s="14"/>
      <c r="L5" s="16">
        <f>SUM(L6:L19)</f>
        <v>748</v>
      </c>
      <c r="M5" s="14"/>
      <c r="N5" s="14"/>
      <c r="O5" s="16">
        <f>E5-H5-L5</f>
        <v>3056.1</v>
      </c>
      <c r="Q5" s="48"/>
      <c r="R5" s="48">
        <f>SUM(R6:R11)</f>
        <v>200.2</v>
      </c>
      <c r="S5" s="48"/>
      <c r="T5" s="49">
        <f>SUM(T6:T11)</f>
        <v>748</v>
      </c>
      <c r="U5" s="48"/>
      <c r="V5" s="48"/>
      <c r="W5" s="50"/>
    </row>
    <row r="6" spans="1:23">
      <c r="A6" s="19">
        <v>1</v>
      </c>
      <c r="B6" s="20">
        <v>43414</v>
      </c>
      <c r="C6" s="21">
        <v>1.1</v>
      </c>
      <c r="D6" s="22">
        <v>1</v>
      </c>
      <c r="E6" s="23">
        <f>ROUND(331.12/2,1)</f>
        <v>165.6</v>
      </c>
      <c r="F6" s="24" t="s">
        <v>43</v>
      </c>
      <c r="G6" s="19" t="s">
        <v>32</v>
      </c>
      <c r="H6" s="25">
        <f t="shared" ref="H6:H9" si="1">ROUND(E6*0.05,1)</f>
        <v>8.3</v>
      </c>
      <c r="J6" s="40">
        <v>43101</v>
      </c>
      <c r="K6" s="19" t="s">
        <v>33</v>
      </c>
      <c r="L6" s="23">
        <v>5</v>
      </c>
      <c r="M6" s="19" t="s">
        <v>27</v>
      </c>
      <c r="N6" s="41" t="s">
        <v>193</v>
      </c>
      <c r="O6" s="23"/>
      <c r="Q6" s="48" t="s">
        <v>27</v>
      </c>
      <c r="R6" s="48">
        <f>SUMIF(G6:G19,Q6,H6:H19)</f>
        <v>45.2</v>
      </c>
      <c r="S6" s="48" t="s">
        <v>26</v>
      </c>
      <c r="T6" s="48">
        <f>SUMIF(K6:K19,S6,L6:L19)</f>
        <v>300</v>
      </c>
      <c r="U6" s="48" t="s">
        <v>28</v>
      </c>
      <c r="V6" s="48">
        <f>O5</f>
        <v>3056.1</v>
      </c>
      <c r="W6" s="50"/>
    </row>
    <row r="7" spans="1:23">
      <c r="A7" s="19">
        <v>2</v>
      </c>
      <c r="B7" s="20">
        <v>43101</v>
      </c>
      <c r="C7" s="21">
        <v>1.1</v>
      </c>
      <c r="D7" s="22">
        <v>1</v>
      </c>
      <c r="E7" s="23">
        <v>150</v>
      </c>
      <c r="F7" s="24" t="s">
        <v>37</v>
      </c>
      <c r="G7" s="19" t="s">
        <v>27</v>
      </c>
      <c r="H7" s="25">
        <f t="shared" si="1"/>
        <v>7.5</v>
      </c>
      <c r="J7" s="40">
        <v>43107</v>
      </c>
      <c r="K7" s="19" t="s">
        <v>26</v>
      </c>
      <c r="L7" s="23">
        <v>50</v>
      </c>
      <c r="M7" s="19" t="s">
        <v>27</v>
      </c>
      <c r="N7" s="41">
        <v>1.8</v>
      </c>
      <c r="O7" s="23"/>
      <c r="Q7" s="48" t="s">
        <v>25</v>
      </c>
      <c r="R7" s="48">
        <f>SUMIF(G6:G19,Q7,H6:H19)</f>
        <v>0</v>
      </c>
      <c r="S7" s="48" t="s">
        <v>29</v>
      </c>
      <c r="T7" s="48">
        <f>SUMIF(K6:K19,S7,L6:L19)</f>
        <v>339</v>
      </c>
      <c r="U7" s="48" t="s">
        <v>30</v>
      </c>
      <c r="V7" s="49">
        <f>ROUND(V6*W7,1)</f>
        <v>2444.9</v>
      </c>
      <c r="W7" s="51">
        <v>0.8</v>
      </c>
    </row>
    <row r="8" spans="1:23">
      <c r="A8" s="19">
        <v>3</v>
      </c>
      <c r="B8" s="20">
        <v>43102</v>
      </c>
      <c r="C8" s="21">
        <v>1.2</v>
      </c>
      <c r="D8" s="22">
        <v>1</v>
      </c>
      <c r="E8" s="23">
        <v>150</v>
      </c>
      <c r="F8" s="24" t="s">
        <v>37</v>
      </c>
      <c r="G8" s="19" t="s">
        <v>27</v>
      </c>
      <c r="H8" s="25">
        <f t="shared" si="1"/>
        <v>7.5</v>
      </c>
      <c r="J8" s="40">
        <v>43110</v>
      </c>
      <c r="K8" s="19" t="s">
        <v>36</v>
      </c>
      <c r="L8" s="23">
        <v>100</v>
      </c>
      <c r="M8" s="19" t="s">
        <v>30</v>
      </c>
      <c r="N8" s="41" t="s">
        <v>194</v>
      </c>
      <c r="O8" s="23"/>
      <c r="Q8" s="48" t="s">
        <v>32</v>
      </c>
      <c r="R8" s="48">
        <f>SUMIF(G6:G19,Q8,H6:H19)</f>
        <v>155</v>
      </c>
      <c r="S8" s="48" t="s">
        <v>33</v>
      </c>
      <c r="T8" s="48">
        <f>SUMIF(K6:K19,S8,L6:L19)</f>
        <v>9</v>
      </c>
      <c r="U8" s="48" t="s">
        <v>117</v>
      </c>
      <c r="V8" s="49">
        <f>ROUND(V6*W8,1)</f>
        <v>611.2</v>
      </c>
      <c r="W8" s="51">
        <v>0.2</v>
      </c>
    </row>
    <row r="9" spans="1:23">
      <c r="A9" s="19">
        <v>4</v>
      </c>
      <c r="B9" s="20">
        <v>43103</v>
      </c>
      <c r="C9" s="21">
        <v>1.3</v>
      </c>
      <c r="D9" s="22">
        <v>1</v>
      </c>
      <c r="E9" s="23">
        <v>150</v>
      </c>
      <c r="F9" s="24" t="s">
        <v>37</v>
      </c>
      <c r="G9" s="19" t="s">
        <v>27</v>
      </c>
      <c r="H9" s="25">
        <f t="shared" si="1"/>
        <v>7.5</v>
      </c>
      <c r="J9" s="40">
        <v>43111</v>
      </c>
      <c r="K9" s="19" t="s">
        <v>26</v>
      </c>
      <c r="L9" s="23">
        <v>50</v>
      </c>
      <c r="M9" s="19" t="s">
        <v>27</v>
      </c>
      <c r="N9" s="41">
        <v>1.12</v>
      </c>
      <c r="O9" s="23"/>
      <c r="Q9" s="48" t="s">
        <v>35</v>
      </c>
      <c r="R9" s="48"/>
      <c r="S9" s="48" t="s">
        <v>36</v>
      </c>
      <c r="T9" s="48">
        <f>SUMIF(K6:K19,S9,L6:L19)</f>
        <v>100</v>
      </c>
      <c r="U9" s="48"/>
      <c r="V9" s="52"/>
      <c r="W9" s="51"/>
    </row>
    <row r="10" spans="1:23">
      <c r="A10" s="19">
        <v>5</v>
      </c>
      <c r="B10" s="20">
        <v>43451</v>
      </c>
      <c r="C10" s="21" t="s">
        <v>195</v>
      </c>
      <c r="D10" s="22">
        <v>4</v>
      </c>
      <c r="E10" s="23">
        <f>ROUND(592.54,1)</f>
        <v>592.5</v>
      </c>
      <c r="F10" s="19" t="s">
        <v>43</v>
      </c>
      <c r="G10" s="19" t="s">
        <v>32</v>
      </c>
      <c r="H10" s="25">
        <f t="shared" ref="H10:H19" si="2">ROUND(E10*0.05,1)</f>
        <v>29.6</v>
      </c>
      <c r="J10" s="20">
        <v>43118</v>
      </c>
      <c r="K10" s="19" t="s">
        <v>26</v>
      </c>
      <c r="L10" s="23">
        <v>50</v>
      </c>
      <c r="M10" s="19" t="s">
        <v>27</v>
      </c>
      <c r="N10" s="41">
        <v>1.18</v>
      </c>
      <c r="O10" s="23"/>
      <c r="Q10" s="48" t="s">
        <v>30</v>
      </c>
      <c r="R10" s="48"/>
      <c r="S10" s="48" t="s">
        <v>38</v>
      </c>
      <c r="T10" s="48">
        <f>SUMIF(K6:K19,S10,L6:L19)</f>
        <v>0</v>
      </c>
      <c r="U10" s="48"/>
      <c r="V10" s="52"/>
      <c r="W10" s="51"/>
    </row>
    <row r="11" spans="1:23">
      <c r="A11" s="19">
        <v>6</v>
      </c>
      <c r="B11" s="20">
        <v>43106</v>
      </c>
      <c r="C11" s="21" t="s">
        <v>196</v>
      </c>
      <c r="D11" s="22">
        <v>3</v>
      </c>
      <c r="E11" s="23">
        <v>453.6</v>
      </c>
      <c r="F11" s="24" t="s">
        <v>24</v>
      </c>
      <c r="G11" s="19" t="s">
        <v>27</v>
      </c>
      <c r="H11" s="25">
        <f t="shared" si="2"/>
        <v>22.7</v>
      </c>
      <c r="J11" s="20">
        <v>43118</v>
      </c>
      <c r="K11" s="19" t="s">
        <v>33</v>
      </c>
      <c r="L11" s="23">
        <v>4</v>
      </c>
      <c r="M11" s="19" t="s">
        <v>27</v>
      </c>
      <c r="N11" s="41" t="s">
        <v>197</v>
      </c>
      <c r="O11" s="23"/>
      <c r="Q11" s="48" t="s">
        <v>39</v>
      </c>
      <c r="R11" s="48"/>
      <c r="S11" s="48" t="s">
        <v>40</v>
      </c>
      <c r="T11" s="48">
        <f>SUMIF(K6:K19,S11,L6:L19)</f>
        <v>0</v>
      </c>
      <c r="U11" s="48"/>
      <c r="V11" s="48"/>
      <c r="W11" s="50"/>
    </row>
    <row r="12" spans="1:23">
      <c r="A12" s="19">
        <v>7</v>
      </c>
      <c r="B12" s="20">
        <v>43463</v>
      </c>
      <c r="C12" s="21" t="s">
        <v>198</v>
      </c>
      <c r="D12" s="22">
        <v>6</v>
      </c>
      <c r="E12" s="23">
        <f>ROUND(859.76,1)</f>
        <v>859.8</v>
      </c>
      <c r="F12" s="24" t="s">
        <v>43</v>
      </c>
      <c r="G12" s="19" t="s">
        <v>32</v>
      </c>
      <c r="H12" s="25">
        <f t="shared" si="2"/>
        <v>43</v>
      </c>
      <c r="J12" s="20">
        <v>43118</v>
      </c>
      <c r="K12" s="19" t="s">
        <v>26</v>
      </c>
      <c r="L12" s="23">
        <v>50</v>
      </c>
      <c r="M12" s="19" t="s">
        <v>27</v>
      </c>
      <c r="N12" s="41">
        <v>1.21</v>
      </c>
      <c r="O12" s="23"/>
      <c r="S12" s="69"/>
      <c r="T12" s="69"/>
      <c r="V12" s="69"/>
      <c r="W12" s="69"/>
    </row>
    <row r="13" spans="1:15">
      <c r="A13" s="19">
        <v>8</v>
      </c>
      <c r="B13" s="20">
        <v>43451</v>
      </c>
      <c r="C13" s="21" t="s">
        <v>199</v>
      </c>
      <c r="D13" s="22">
        <v>3</v>
      </c>
      <c r="E13" s="23">
        <v>474.9</v>
      </c>
      <c r="F13" s="24" t="s">
        <v>43</v>
      </c>
      <c r="G13" s="19" t="s">
        <v>32</v>
      </c>
      <c r="H13" s="25">
        <f t="shared" si="2"/>
        <v>23.7</v>
      </c>
      <c r="J13" s="20">
        <v>43125</v>
      </c>
      <c r="K13" s="19" t="s">
        <v>26</v>
      </c>
      <c r="L13" s="23">
        <v>50</v>
      </c>
      <c r="M13" s="19" t="s">
        <v>27</v>
      </c>
      <c r="N13" s="42">
        <v>1.3</v>
      </c>
      <c r="O13" s="23"/>
    </row>
    <row r="14" spans="1:15">
      <c r="A14" s="19">
        <v>9</v>
      </c>
      <c r="B14" s="20">
        <v>43463</v>
      </c>
      <c r="C14" s="21" t="s">
        <v>200</v>
      </c>
      <c r="D14" s="22">
        <v>6</v>
      </c>
      <c r="E14" s="23">
        <f>ROUND(859.76,1)</f>
        <v>859.8</v>
      </c>
      <c r="F14" s="24" t="s">
        <v>43</v>
      </c>
      <c r="G14" s="19" t="s">
        <v>32</v>
      </c>
      <c r="H14" s="25">
        <f t="shared" si="2"/>
        <v>43</v>
      </c>
      <c r="J14" s="20">
        <v>43129</v>
      </c>
      <c r="K14" s="19" t="s">
        <v>29</v>
      </c>
      <c r="L14" s="23">
        <v>339</v>
      </c>
      <c r="M14" s="19" t="s">
        <v>30</v>
      </c>
      <c r="N14" s="41" t="s">
        <v>96</v>
      </c>
      <c r="O14" s="23"/>
    </row>
    <row r="15" spans="1:15">
      <c r="A15" s="19">
        <v>10</v>
      </c>
      <c r="B15" s="20">
        <v>43106</v>
      </c>
      <c r="C15" s="21">
        <v>1.31</v>
      </c>
      <c r="D15" s="22">
        <v>1</v>
      </c>
      <c r="E15" s="23">
        <f>ROUND(592.54/4*1,1)</f>
        <v>148.1</v>
      </c>
      <c r="F15" s="24" t="s">
        <v>43</v>
      </c>
      <c r="G15" s="19" t="s">
        <v>32</v>
      </c>
      <c r="H15" s="25">
        <f t="shared" si="2"/>
        <v>7.4</v>
      </c>
      <c r="J15" s="20">
        <v>43131</v>
      </c>
      <c r="K15" s="19" t="s">
        <v>26</v>
      </c>
      <c r="L15" s="23">
        <v>50</v>
      </c>
      <c r="M15" s="19" t="s">
        <v>27</v>
      </c>
      <c r="N15" s="41">
        <v>2.4</v>
      </c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25"/>
      <c r="J16" s="20"/>
      <c r="K16" s="19"/>
      <c r="L16" s="23"/>
      <c r="M16" s="20"/>
      <c r="N16" s="19"/>
      <c r="O16" s="23"/>
    </row>
    <row r="17" spans="1:15">
      <c r="A17" s="19">
        <v>12</v>
      </c>
      <c r="B17" s="20"/>
      <c r="C17" s="21"/>
      <c r="D17" s="22"/>
      <c r="E17" s="23"/>
      <c r="F17" s="24"/>
      <c r="G17" s="19"/>
      <c r="H17" s="25"/>
      <c r="J17" s="20"/>
      <c r="K17" s="19"/>
      <c r="L17" s="23"/>
      <c r="M17" s="20"/>
      <c r="N17" s="19"/>
      <c r="O17" s="23"/>
    </row>
    <row r="18" spans="1:15">
      <c r="A18" s="19">
        <v>13</v>
      </c>
      <c r="B18" s="20"/>
      <c r="C18" s="21"/>
      <c r="D18" s="22"/>
      <c r="E18" s="23"/>
      <c r="F18" s="24"/>
      <c r="G18" s="19"/>
      <c r="H18" s="25"/>
      <c r="J18" s="20"/>
      <c r="K18" s="19"/>
      <c r="L18" s="23"/>
      <c r="M18" s="20"/>
      <c r="N18" s="19"/>
      <c r="O18" s="23"/>
    </row>
    <row r="19" spans="1:15">
      <c r="A19" s="19">
        <v>14</v>
      </c>
      <c r="B19" s="20"/>
      <c r="C19" s="21"/>
      <c r="D19" s="22"/>
      <c r="E19" s="23"/>
      <c r="F19" s="24"/>
      <c r="G19" s="19"/>
      <c r="H19" s="25"/>
      <c r="J19" s="20"/>
      <c r="K19" s="19"/>
      <c r="L19" s="23"/>
      <c r="M19" s="20"/>
      <c r="N19" s="19"/>
      <c r="O19" s="23"/>
    </row>
    <row r="20" ht="30" customHeight="1" spans="1:23">
      <c r="A20" s="12" t="s">
        <v>49</v>
      </c>
      <c r="B20" s="67"/>
      <c r="C20" s="14"/>
      <c r="D20" s="15">
        <f t="shared" ref="D20:H20" si="3">SUM(D21:D31)</f>
        <v>25</v>
      </c>
      <c r="E20" s="16">
        <f t="shared" si="3"/>
        <v>4918.2</v>
      </c>
      <c r="F20" s="14"/>
      <c r="G20" s="14"/>
      <c r="H20" s="16">
        <f t="shared" si="3"/>
        <v>245.9</v>
      </c>
      <c r="J20" s="14"/>
      <c r="K20" s="14"/>
      <c r="L20" s="16">
        <f>SUM(L21:L31)</f>
        <v>586.9</v>
      </c>
      <c r="M20" s="14"/>
      <c r="N20" s="14"/>
      <c r="O20" s="16">
        <f>E20-H20-L20</f>
        <v>4085.4</v>
      </c>
      <c r="Q20" s="48"/>
      <c r="R20" s="48">
        <f>SUM(R21:R26)</f>
        <v>245.9</v>
      </c>
      <c r="S20" s="48"/>
      <c r="T20" s="49">
        <f>SUM(T21:T26)</f>
        <v>586.9</v>
      </c>
      <c r="U20" s="48"/>
      <c r="V20" s="48"/>
      <c r="W20" s="50"/>
    </row>
    <row r="21" spans="1:23">
      <c r="A21" s="19">
        <v>1</v>
      </c>
      <c r="B21" s="20">
        <v>43106</v>
      </c>
      <c r="C21" s="21" t="s">
        <v>201</v>
      </c>
      <c r="D21" s="22">
        <v>3</v>
      </c>
      <c r="E21" s="23">
        <f>ROUND(592.54/4*3,1)</f>
        <v>444.4</v>
      </c>
      <c r="F21" s="24" t="s">
        <v>43</v>
      </c>
      <c r="G21" s="19" t="s">
        <v>32</v>
      </c>
      <c r="H21" s="25">
        <f t="shared" ref="H21:H30" si="4">ROUND(E21*0.05,1)</f>
        <v>22.2</v>
      </c>
      <c r="J21" s="40">
        <v>43133</v>
      </c>
      <c r="K21" s="19" t="s">
        <v>26</v>
      </c>
      <c r="L21" s="23">
        <v>75</v>
      </c>
      <c r="M21" s="19" t="s">
        <v>27</v>
      </c>
      <c r="N21" s="41">
        <v>2.11</v>
      </c>
      <c r="O21" s="23"/>
      <c r="Q21" s="48" t="s">
        <v>27</v>
      </c>
      <c r="R21" s="48">
        <f>SUMIF(G21:G31,Q21,H21:H31)</f>
        <v>109.8</v>
      </c>
      <c r="S21" s="48" t="s">
        <v>26</v>
      </c>
      <c r="T21" s="48">
        <f>SUMIF(K21:K31,S21,L21:L31)</f>
        <v>575</v>
      </c>
      <c r="U21" s="48" t="s">
        <v>28</v>
      </c>
      <c r="V21" s="48">
        <f>O20</f>
        <v>4085.4</v>
      </c>
      <c r="W21" s="50"/>
    </row>
    <row r="22" spans="1:23">
      <c r="A22" s="19">
        <v>2</v>
      </c>
      <c r="B22" s="20">
        <v>43135</v>
      </c>
      <c r="C22" s="21">
        <v>2.5</v>
      </c>
      <c r="D22" s="22">
        <v>1</v>
      </c>
      <c r="E22" s="23">
        <v>160.2</v>
      </c>
      <c r="F22" s="24" t="s">
        <v>46</v>
      </c>
      <c r="G22" s="19" t="s">
        <v>25</v>
      </c>
      <c r="H22" s="25">
        <f t="shared" si="4"/>
        <v>8</v>
      </c>
      <c r="J22" s="20">
        <v>43133</v>
      </c>
      <c r="K22" s="19" t="s">
        <v>26</v>
      </c>
      <c r="L22" s="23">
        <v>50</v>
      </c>
      <c r="M22" s="19" t="s">
        <v>27</v>
      </c>
      <c r="N22" s="41">
        <v>2.6</v>
      </c>
      <c r="O22" s="23"/>
      <c r="Q22" s="48" t="s">
        <v>25</v>
      </c>
      <c r="R22" s="48">
        <f>SUMIF(G21:G31,Q22,H21:H31)</f>
        <v>17.4</v>
      </c>
      <c r="S22" s="48" t="s">
        <v>29</v>
      </c>
      <c r="T22" s="48">
        <f>SUMIF(K21:K31,S22,L21:L31)</f>
        <v>0</v>
      </c>
      <c r="U22" s="48" t="s">
        <v>30</v>
      </c>
      <c r="V22" s="49">
        <f>ROUND(V21*W22,1)</f>
        <v>3268.3</v>
      </c>
      <c r="W22" s="51">
        <v>0.8</v>
      </c>
    </row>
    <row r="23" spans="1:23">
      <c r="A23" s="19">
        <v>3</v>
      </c>
      <c r="B23" s="20">
        <v>43131</v>
      </c>
      <c r="C23" s="21" t="s">
        <v>202</v>
      </c>
      <c r="D23" s="22">
        <v>4</v>
      </c>
      <c r="E23" s="23">
        <v>592.5</v>
      </c>
      <c r="F23" s="24" t="s">
        <v>43</v>
      </c>
      <c r="G23" s="19" t="s">
        <v>32</v>
      </c>
      <c r="H23" s="25">
        <f t="shared" si="4"/>
        <v>29.6</v>
      </c>
      <c r="J23" s="20">
        <v>43146</v>
      </c>
      <c r="K23" s="19" t="s">
        <v>26</v>
      </c>
      <c r="L23" s="23">
        <v>100</v>
      </c>
      <c r="M23" s="19" t="s">
        <v>32</v>
      </c>
      <c r="N23" s="41" t="s">
        <v>56</v>
      </c>
      <c r="O23" s="23"/>
      <c r="Q23" s="48" t="s">
        <v>32</v>
      </c>
      <c r="R23" s="48">
        <f>SUMIF(G21:G31,Q23,H21:H31)</f>
        <v>118.7</v>
      </c>
      <c r="S23" s="48" t="s">
        <v>33</v>
      </c>
      <c r="T23" s="48">
        <f>SUMIF(K21:K31,S23,L21:L31)</f>
        <v>11.9</v>
      </c>
      <c r="U23" s="48" t="s">
        <v>117</v>
      </c>
      <c r="V23" s="49">
        <f>ROUND(V21*W23,1)</f>
        <v>817.1</v>
      </c>
      <c r="W23" s="51">
        <v>0.2</v>
      </c>
    </row>
    <row r="24" spans="1:23">
      <c r="A24" s="19">
        <v>4</v>
      </c>
      <c r="B24" s="20">
        <v>43139</v>
      </c>
      <c r="C24" s="21" t="s">
        <v>203</v>
      </c>
      <c r="D24" s="22">
        <v>4</v>
      </c>
      <c r="E24" s="23">
        <v>592.4</v>
      </c>
      <c r="F24" s="24" t="s">
        <v>43</v>
      </c>
      <c r="G24" s="19" t="s">
        <v>32</v>
      </c>
      <c r="H24" s="25">
        <f t="shared" si="4"/>
        <v>29.6</v>
      </c>
      <c r="J24" s="20">
        <v>43148</v>
      </c>
      <c r="K24" s="19" t="s">
        <v>26</v>
      </c>
      <c r="L24" s="23">
        <v>100</v>
      </c>
      <c r="M24" s="19" t="s">
        <v>27</v>
      </c>
      <c r="N24" s="41">
        <v>2.19</v>
      </c>
      <c r="O24" s="23"/>
      <c r="Q24" s="48" t="s">
        <v>35</v>
      </c>
      <c r="R24" s="48"/>
      <c r="S24" s="48" t="s">
        <v>36</v>
      </c>
      <c r="T24" s="48">
        <f>SUMIF(K21:K31,S24,L21:L31)</f>
        <v>0</v>
      </c>
      <c r="U24" s="48"/>
      <c r="V24" s="52"/>
      <c r="W24" s="51"/>
    </row>
    <row r="25" spans="1:23">
      <c r="A25" s="19">
        <v>5</v>
      </c>
      <c r="B25" s="20">
        <v>43125</v>
      </c>
      <c r="C25" s="21" t="s">
        <v>98</v>
      </c>
      <c r="D25" s="22">
        <v>3</v>
      </c>
      <c r="E25" s="23">
        <v>1026</v>
      </c>
      <c r="F25" s="24" t="s">
        <v>24</v>
      </c>
      <c r="G25" s="19" t="s">
        <v>27</v>
      </c>
      <c r="H25" s="25">
        <f t="shared" si="4"/>
        <v>51.3</v>
      </c>
      <c r="J25" s="20">
        <v>43153</v>
      </c>
      <c r="K25" s="19" t="s">
        <v>26</v>
      </c>
      <c r="L25" s="23">
        <v>100</v>
      </c>
      <c r="M25" s="19" t="s">
        <v>32</v>
      </c>
      <c r="N25" s="41" t="s">
        <v>56</v>
      </c>
      <c r="O25" s="23"/>
      <c r="Q25" s="48" t="s">
        <v>30</v>
      </c>
      <c r="R25" s="48"/>
      <c r="S25" s="48" t="s">
        <v>38</v>
      </c>
      <c r="T25" s="48">
        <f>SUMIF(K21:K31,S25,L21:L31)</f>
        <v>0</v>
      </c>
      <c r="U25" s="48"/>
      <c r="V25" s="52"/>
      <c r="W25" s="51"/>
    </row>
    <row r="26" spans="1:23">
      <c r="A26" s="19">
        <v>6</v>
      </c>
      <c r="B26" s="20">
        <v>43147</v>
      </c>
      <c r="C26" s="21" t="s">
        <v>204</v>
      </c>
      <c r="D26" s="22">
        <v>3</v>
      </c>
      <c r="E26" s="23">
        <v>1026</v>
      </c>
      <c r="F26" s="27" t="s">
        <v>24</v>
      </c>
      <c r="G26" s="19" t="s">
        <v>27</v>
      </c>
      <c r="H26" s="25">
        <f t="shared" si="4"/>
        <v>51.3</v>
      </c>
      <c r="J26" s="20">
        <v>43154</v>
      </c>
      <c r="K26" s="19" t="s">
        <v>33</v>
      </c>
      <c r="L26" s="23">
        <v>11.9</v>
      </c>
      <c r="M26" s="19" t="s">
        <v>32</v>
      </c>
      <c r="N26" s="41" t="s">
        <v>197</v>
      </c>
      <c r="O26" s="23"/>
      <c r="Q26" s="48" t="s">
        <v>39</v>
      </c>
      <c r="R26" s="48"/>
      <c r="S26" s="48" t="s">
        <v>40</v>
      </c>
      <c r="T26" s="48">
        <f>SUMIF(K21:K31,S26,L21:L31)</f>
        <v>0</v>
      </c>
      <c r="U26" s="48"/>
      <c r="V26" s="48"/>
      <c r="W26" s="50"/>
    </row>
    <row r="27" spans="1:15">
      <c r="A27" s="19">
        <v>7</v>
      </c>
      <c r="B27" s="20">
        <v>43140</v>
      </c>
      <c r="C27" s="21">
        <v>2.22</v>
      </c>
      <c r="D27" s="22">
        <v>1</v>
      </c>
      <c r="E27" s="23">
        <v>187.2</v>
      </c>
      <c r="F27" s="27" t="s">
        <v>46</v>
      </c>
      <c r="G27" s="19" t="s">
        <v>25</v>
      </c>
      <c r="H27" s="25">
        <f t="shared" si="4"/>
        <v>9.4</v>
      </c>
      <c r="J27" s="20">
        <v>43154</v>
      </c>
      <c r="K27" s="19" t="s">
        <v>26</v>
      </c>
      <c r="L27" s="23">
        <f>50*1.5</f>
        <v>75</v>
      </c>
      <c r="M27" s="19" t="s">
        <v>32</v>
      </c>
      <c r="N27" s="41" t="s">
        <v>56</v>
      </c>
      <c r="O27" s="23"/>
    </row>
    <row r="28" spans="1:15">
      <c r="A28" s="19">
        <v>8</v>
      </c>
      <c r="B28" s="20">
        <v>43142</v>
      </c>
      <c r="C28" s="21">
        <v>2.23</v>
      </c>
      <c r="D28" s="22">
        <v>1</v>
      </c>
      <c r="E28" s="23">
        <v>144</v>
      </c>
      <c r="F28" s="27" t="s">
        <v>24</v>
      </c>
      <c r="G28" s="19" t="s">
        <v>27</v>
      </c>
      <c r="H28" s="25">
        <f t="shared" si="4"/>
        <v>7.2</v>
      </c>
      <c r="J28" s="20">
        <v>43155</v>
      </c>
      <c r="K28" s="19" t="s">
        <v>26</v>
      </c>
      <c r="L28" s="23">
        <f>50*1.5</f>
        <v>75</v>
      </c>
      <c r="M28" s="19" t="s">
        <v>32</v>
      </c>
      <c r="N28" s="41" t="s">
        <v>56</v>
      </c>
      <c r="O28" s="23"/>
    </row>
    <row r="29" spans="1:15">
      <c r="A29" s="19">
        <v>9</v>
      </c>
      <c r="B29" s="20">
        <v>43133</v>
      </c>
      <c r="C29" s="21" t="s">
        <v>205</v>
      </c>
      <c r="D29" s="22">
        <v>4</v>
      </c>
      <c r="E29" s="23">
        <v>592.5</v>
      </c>
      <c r="F29" s="24" t="s">
        <v>43</v>
      </c>
      <c r="G29" s="19" t="s">
        <v>32</v>
      </c>
      <c r="H29" s="25">
        <f t="shared" si="4"/>
        <v>29.6</v>
      </c>
      <c r="J29" s="20"/>
      <c r="K29" s="19"/>
      <c r="L29" s="23"/>
      <c r="M29" s="20"/>
      <c r="N29" s="19"/>
      <c r="O29" s="23"/>
    </row>
    <row r="30" spans="1:15">
      <c r="A30" s="19">
        <v>10</v>
      </c>
      <c r="B30" s="20">
        <v>43149</v>
      </c>
      <c r="C30" s="21">
        <v>2.28</v>
      </c>
      <c r="D30" s="22">
        <v>1</v>
      </c>
      <c r="E30" s="23">
        <f>ROUND(458.9/3,1)</f>
        <v>153</v>
      </c>
      <c r="F30" s="24" t="s">
        <v>43</v>
      </c>
      <c r="G30" s="19" t="s">
        <v>32</v>
      </c>
      <c r="H30" s="25">
        <f t="shared" si="4"/>
        <v>7.7</v>
      </c>
      <c r="J30" s="20"/>
      <c r="K30" s="19"/>
      <c r="L30" s="23"/>
      <c r="M30" s="20"/>
      <c r="N30" s="19"/>
      <c r="O30" s="23"/>
    </row>
    <row r="31" spans="1:15">
      <c r="A31" s="19">
        <v>11</v>
      </c>
      <c r="B31" s="20"/>
      <c r="C31" s="21"/>
      <c r="D31" s="22"/>
      <c r="E31" s="23"/>
      <c r="F31" s="24"/>
      <c r="G31" s="19"/>
      <c r="H31" s="25"/>
      <c r="J31" s="20"/>
      <c r="K31" s="19"/>
      <c r="L31" s="23"/>
      <c r="M31" s="20"/>
      <c r="N31" s="19"/>
      <c r="O31" s="23"/>
    </row>
    <row r="32" ht="30" customHeight="1" spans="1:23">
      <c r="A32" s="12" t="s">
        <v>60</v>
      </c>
      <c r="B32" s="67"/>
      <c r="C32" s="14"/>
      <c r="D32" s="15">
        <f t="shared" ref="D32:H32" si="5">SUM(D33:D44)</f>
        <v>22</v>
      </c>
      <c r="E32" s="16">
        <f t="shared" si="5"/>
        <v>3622.5</v>
      </c>
      <c r="F32" s="14"/>
      <c r="G32" s="14"/>
      <c r="H32" s="16">
        <f t="shared" si="5"/>
        <v>181.3</v>
      </c>
      <c r="J32" s="14"/>
      <c r="K32" s="14"/>
      <c r="L32" s="16">
        <f>SUM(L33:L44)</f>
        <v>777</v>
      </c>
      <c r="M32" s="14"/>
      <c r="N32" s="14"/>
      <c r="O32" s="16">
        <f>E32-H32-L32</f>
        <v>2664.2</v>
      </c>
      <c r="Q32" s="48"/>
      <c r="R32" s="48">
        <f>SUM(R33:R38)</f>
        <v>181.3</v>
      </c>
      <c r="S32" s="48"/>
      <c r="T32" s="49">
        <f>SUM(T33:T38)</f>
        <v>777</v>
      </c>
      <c r="U32" s="48"/>
      <c r="V32" s="48"/>
      <c r="W32" s="50"/>
    </row>
    <row r="33" spans="1:23">
      <c r="A33" s="19">
        <v>1</v>
      </c>
      <c r="B33" s="20">
        <v>43149</v>
      </c>
      <c r="C33" s="21" t="s">
        <v>127</v>
      </c>
      <c r="D33" s="22">
        <v>2</v>
      </c>
      <c r="E33" s="23">
        <f>ROUND(458.9/3*2,1)</f>
        <v>305.9</v>
      </c>
      <c r="F33" s="24" t="s">
        <v>43</v>
      </c>
      <c r="G33" s="19" t="s">
        <v>32</v>
      </c>
      <c r="H33" s="25">
        <f t="shared" ref="H33:H36" si="6">ROUND(E33*0.05,1)</f>
        <v>15.3</v>
      </c>
      <c r="J33" s="40">
        <v>43161</v>
      </c>
      <c r="K33" s="19" t="s">
        <v>26</v>
      </c>
      <c r="L33" s="23">
        <v>50</v>
      </c>
      <c r="M33" s="19" t="s">
        <v>27</v>
      </c>
      <c r="N33" s="41">
        <v>3.5</v>
      </c>
      <c r="O33" s="23"/>
      <c r="Q33" s="48" t="s">
        <v>27</v>
      </c>
      <c r="R33" s="48">
        <f>SUMIF(G33:G44,Q33,H33:H44)</f>
        <v>104.6</v>
      </c>
      <c r="S33" s="48" t="s">
        <v>26</v>
      </c>
      <c r="T33" s="48">
        <f>SUMIF(K33:K44,S33,L33:L44)</f>
        <v>550</v>
      </c>
      <c r="U33" s="48" t="s">
        <v>28</v>
      </c>
      <c r="V33" s="48">
        <f>O32</f>
        <v>2664.2</v>
      </c>
      <c r="W33" s="50"/>
    </row>
    <row r="34" spans="1:23">
      <c r="A34" s="19">
        <v>2</v>
      </c>
      <c r="B34" s="20">
        <v>43153</v>
      </c>
      <c r="C34" s="21" t="s">
        <v>206</v>
      </c>
      <c r="D34" s="22">
        <v>3</v>
      </c>
      <c r="E34" s="23">
        <v>453.6</v>
      </c>
      <c r="F34" s="24" t="s">
        <v>24</v>
      </c>
      <c r="G34" s="19" t="s">
        <v>27</v>
      </c>
      <c r="H34" s="25">
        <f t="shared" si="6"/>
        <v>22.7</v>
      </c>
      <c r="J34" s="20">
        <v>43162</v>
      </c>
      <c r="K34" s="19" t="s">
        <v>26</v>
      </c>
      <c r="L34" s="23">
        <v>50</v>
      </c>
      <c r="M34" s="20" t="s">
        <v>32</v>
      </c>
      <c r="N34" s="19" t="s">
        <v>56</v>
      </c>
      <c r="O34" s="23"/>
      <c r="Q34" s="48" t="s">
        <v>25</v>
      </c>
      <c r="R34" s="48">
        <f>SUMIF(G33:G44,Q34,H33:H44)</f>
        <v>0</v>
      </c>
      <c r="S34" s="48" t="s">
        <v>29</v>
      </c>
      <c r="T34" s="48">
        <f>SUMIF(K33:K44,S34,L33:L44)</f>
        <v>227</v>
      </c>
      <c r="U34" s="48" t="s">
        <v>30</v>
      </c>
      <c r="V34" s="49">
        <f>ROUND(V33*W34,1)</f>
        <v>2131.4</v>
      </c>
      <c r="W34" s="51">
        <v>0.8</v>
      </c>
    </row>
    <row r="35" spans="1:23">
      <c r="A35" s="19">
        <v>3</v>
      </c>
      <c r="B35" s="20">
        <v>43157</v>
      </c>
      <c r="C35" s="21" t="s">
        <v>207</v>
      </c>
      <c r="D35" s="22">
        <v>2</v>
      </c>
      <c r="E35" s="23">
        <v>288</v>
      </c>
      <c r="F35" s="24" t="s">
        <v>24</v>
      </c>
      <c r="G35" s="19" t="s">
        <v>27</v>
      </c>
      <c r="H35" s="25">
        <f t="shared" si="6"/>
        <v>14.4</v>
      </c>
      <c r="J35" s="20">
        <v>43164</v>
      </c>
      <c r="K35" s="19" t="s">
        <v>26</v>
      </c>
      <c r="L35" s="23">
        <v>50</v>
      </c>
      <c r="M35" s="20" t="s">
        <v>32</v>
      </c>
      <c r="N35" s="19" t="s">
        <v>56</v>
      </c>
      <c r="O35" s="23"/>
      <c r="Q35" s="48" t="s">
        <v>32</v>
      </c>
      <c r="R35" s="48">
        <f>SUMIF(G33:G44,Q35,H33:H44)</f>
        <v>76.7</v>
      </c>
      <c r="S35" s="48" t="s">
        <v>33</v>
      </c>
      <c r="T35" s="48">
        <f>SUMIF(K33:K44,S35,L33:L44)</f>
        <v>0</v>
      </c>
      <c r="U35" s="48" t="s">
        <v>117</v>
      </c>
      <c r="V35" s="49">
        <f>ROUND(V33*W35,1)</f>
        <v>532.8</v>
      </c>
      <c r="W35" s="51">
        <v>0.2</v>
      </c>
    </row>
    <row r="36" spans="1:23">
      <c r="A36" s="19">
        <v>4</v>
      </c>
      <c r="B36" s="20">
        <v>43167</v>
      </c>
      <c r="C36" s="21" t="s">
        <v>208</v>
      </c>
      <c r="D36" s="22">
        <v>5</v>
      </c>
      <c r="E36" s="23">
        <v>784.2</v>
      </c>
      <c r="F36" s="24" t="s">
        <v>161</v>
      </c>
      <c r="G36" s="19" t="s">
        <v>32</v>
      </c>
      <c r="H36" s="25">
        <f t="shared" si="6"/>
        <v>39.2</v>
      </c>
      <c r="J36" s="20">
        <v>43169</v>
      </c>
      <c r="K36" s="19" t="s">
        <v>26</v>
      </c>
      <c r="L36" s="23">
        <v>50</v>
      </c>
      <c r="M36" s="20" t="s">
        <v>27</v>
      </c>
      <c r="N36" s="19">
        <v>3.12</v>
      </c>
      <c r="O36" s="23"/>
      <c r="Q36" s="48" t="s">
        <v>35</v>
      </c>
      <c r="R36" s="48"/>
      <c r="S36" s="48" t="s">
        <v>36</v>
      </c>
      <c r="T36" s="48">
        <f>SUMIF(K33:K44,S36,L33:L44)</f>
        <v>0</v>
      </c>
      <c r="U36" s="48"/>
      <c r="V36" s="52"/>
      <c r="W36" s="51"/>
    </row>
    <row r="37" spans="1:23">
      <c r="A37" s="19">
        <v>5</v>
      </c>
      <c r="B37" s="20">
        <v>43176</v>
      </c>
      <c r="C37" s="21">
        <v>3.17</v>
      </c>
      <c r="D37" s="22">
        <v>1</v>
      </c>
      <c r="E37" s="23">
        <v>259.2</v>
      </c>
      <c r="F37" s="24" t="s">
        <v>57</v>
      </c>
      <c r="G37" s="19" t="s">
        <v>27</v>
      </c>
      <c r="H37" s="25">
        <v>13</v>
      </c>
      <c r="J37" s="20">
        <v>43176</v>
      </c>
      <c r="K37" s="19" t="s">
        <v>26</v>
      </c>
      <c r="L37" s="23">
        <v>50</v>
      </c>
      <c r="M37" s="20" t="s">
        <v>32</v>
      </c>
      <c r="N37" s="19" t="s">
        <v>56</v>
      </c>
      <c r="O37" s="23"/>
      <c r="Q37" s="48" t="s">
        <v>30</v>
      </c>
      <c r="R37" s="48"/>
      <c r="S37" s="48" t="s">
        <v>38</v>
      </c>
      <c r="T37" s="48">
        <f>SUMIF(K33:K44,S37,L33:L44)</f>
        <v>0</v>
      </c>
      <c r="U37" s="48"/>
      <c r="V37" s="52"/>
      <c r="W37" s="51"/>
    </row>
    <row r="38" spans="1:23">
      <c r="A38" s="19">
        <v>6</v>
      </c>
      <c r="B38" s="20">
        <v>43177</v>
      </c>
      <c r="C38" s="21">
        <v>3.18</v>
      </c>
      <c r="D38" s="22">
        <v>1</v>
      </c>
      <c r="E38" s="23">
        <v>259.2</v>
      </c>
      <c r="F38" s="24" t="s">
        <v>24</v>
      </c>
      <c r="G38" s="19" t="s">
        <v>27</v>
      </c>
      <c r="H38" s="25">
        <v>13</v>
      </c>
      <c r="J38" s="20">
        <v>43177</v>
      </c>
      <c r="K38" s="19" t="s">
        <v>29</v>
      </c>
      <c r="L38" s="23">
        <v>227</v>
      </c>
      <c r="M38" s="20" t="s">
        <v>30</v>
      </c>
      <c r="N38" s="19" t="s">
        <v>209</v>
      </c>
      <c r="O38" s="23"/>
      <c r="Q38" s="48" t="s">
        <v>39</v>
      </c>
      <c r="R38" s="48"/>
      <c r="S38" s="48" t="s">
        <v>40</v>
      </c>
      <c r="T38" s="48">
        <f>SUMIF(K33:K44,S38,L33:L44)</f>
        <v>0</v>
      </c>
      <c r="U38" s="48"/>
      <c r="V38" s="48"/>
      <c r="W38" s="50"/>
    </row>
    <row r="39" spans="1:15">
      <c r="A39" s="19">
        <v>7</v>
      </c>
      <c r="B39" s="20">
        <v>43175</v>
      </c>
      <c r="C39" s="21">
        <v>3.23</v>
      </c>
      <c r="D39" s="22">
        <v>1</v>
      </c>
      <c r="E39" s="23">
        <v>151.2</v>
      </c>
      <c r="F39" s="24" t="s">
        <v>24</v>
      </c>
      <c r="G39" s="19" t="s">
        <v>27</v>
      </c>
      <c r="H39" s="25">
        <f t="shared" ref="H39:H43" si="7">ROUND(E39*0.05,1)</f>
        <v>7.6</v>
      </c>
      <c r="J39" s="20">
        <v>43177</v>
      </c>
      <c r="K39" s="19" t="s">
        <v>26</v>
      </c>
      <c r="L39" s="23">
        <v>50</v>
      </c>
      <c r="M39" s="20" t="s">
        <v>32</v>
      </c>
      <c r="N39" s="19" t="s">
        <v>56</v>
      </c>
      <c r="O39" s="23"/>
    </row>
    <row r="40" spans="1:15">
      <c r="A40" s="19">
        <v>8</v>
      </c>
      <c r="B40" s="20">
        <v>43174</v>
      </c>
      <c r="C40" s="21">
        <v>3.24</v>
      </c>
      <c r="D40" s="22">
        <v>1</v>
      </c>
      <c r="E40" s="23">
        <v>151.2</v>
      </c>
      <c r="F40" s="24" t="s">
        <v>57</v>
      </c>
      <c r="G40" s="19" t="s">
        <v>27</v>
      </c>
      <c r="H40" s="25">
        <f t="shared" si="7"/>
        <v>7.6</v>
      </c>
      <c r="J40" s="20">
        <v>43178</v>
      </c>
      <c r="K40" s="19" t="s">
        <v>26</v>
      </c>
      <c r="L40" s="23">
        <v>50</v>
      </c>
      <c r="M40" s="20" t="s">
        <v>32</v>
      </c>
      <c r="N40" s="19" t="s">
        <v>56</v>
      </c>
      <c r="O40" s="23"/>
    </row>
    <row r="41" spans="1:15">
      <c r="A41" s="19">
        <v>9</v>
      </c>
      <c r="B41" s="20">
        <v>43178</v>
      </c>
      <c r="C41" s="21" t="s">
        <v>210</v>
      </c>
      <c r="D41" s="59">
        <v>2</v>
      </c>
      <c r="E41" s="23">
        <v>374.4</v>
      </c>
      <c r="F41" s="68" t="s">
        <v>24</v>
      </c>
      <c r="G41" s="60" t="s">
        <v>27</v>
      </c>
      <c r="H41" s="25">
        <f t="shared" si="7"/>
        <v>18.7</v>
      </c>
      <c r="J41" s="20">
        <v>43180</v>
      </c>
      <c r="K41" s="19" t="s">
        <v>26</v>
      </c>
      <c r="L41" s="23">
        <v>50</v>
      </c>
      <c r="M41" s="20" t="s">
        <v>32</v>
      </c>
      <c r="N41" s="19" t="s">
        <v>56</v>
      </c>
      <c r="O41" s="23"/>
    </row>
    <row r="42" spans="1:15">
      <c r="A42" s="19">
        <v>10</v>
      </c>
      <c r="B42" s="20">
        <v>43186</v>
      </c>
      <c r="C42" s="21">
        <v>3.27</v>
      </c>
      <c r="D42" s="22">
        <v>1</v>
      </c>
      <c r="E42" s="23">
        <v>151.2</v>
      </c>
      <c r="F42" s="27" t="s">
        <v>24</v>
      </c>
      <c r="G42" s="19" t="s">
        <v>27</v>
      </c>
      <c r="H42" s="25">
        <f t="shared" si="7"/>
        <v>7.6</v>
      </c>
      <c r="J42" s="20">
        <v>43183</v>
      </c>
      <c r="K42" s="19" t="s">
        <v>26</v>
      </c>
      <c r="L42" s="23">
        <v>50</v>
      </c>
      <c r="M42" s="20" t="s">
        <v>32</v>
      </c>
      <c r="N42" s="19" t="s">
        <v>56</v>
      </c>
      <c r="O42" s="23"/>
    </row>
    <row r="43" spans="1:15">
      <c r="A43" s="19">
        <v>13</v>
      </c>
      <c r="B43" s="20">
        <v>43184</v>
      </c>
      <c r="C43" s="21" t="s">
        <v>173</v>
      </c>
      <c r="D43" s="22">
        <v>3</v>
      </c>
      <c r="E43" s="23">
        <f>ROUND(592.5/4*3,1)</f>
        <v>444.4</v>
      </c>
      <c r="F43" s="24" t="s">
        <v>43</v>
      </c>
      <c r="G43" s="19" t="s">
        <v>32</v>
      </c>
      <c r="H43" s="25">
        <f t="shared" si="7"/>
        <v>22.2</v>
      </c>
      <c r="J43" s="20">
        <v>43184</v>
      </c>
      <c r="K43" s="19" t="s">
        <v>26</v>
      </c>
      <c r="L43" s="23">
        <v>50</v>
      </c>
      <c r="M43" s="20" t="s">
        <v>32</v>
      </c>
      <c r="N43" s="19" t="s">
        <v>56</v>
      </c>
      <c r="O43" s="23"/>
    </row>
    <row r="44" spans="1:15">
      <c r="A44" s="19">
        <v>14</v>
      </c>
      <c r="B44" s="20"/>
      <c r="C44" s="21"/>
      <c r="D44" s="22"/>
      <c r="E44" s="23"/>
      <c r="F44" s="24"/>
      <c r="G44" s="19"/>
      <c r="H44" s="25"/>
      <c r="J44" s="20">
        <v>43187</v>
      </c>
      <c r="K44" s="19" t="s">
        <v>26</v>
      </c>
      <c r="L44" s="23">
        <v>50</v>
      </c>
      <c r="M44" s="20" t="s">
        <v>32</v>
      </c>
      <c r="N44" s="19" t="s">
        <v>56</v>
      </c>
      <c r="O44" s="23"/>
    </row>
    <row r="45" ht="30" customHeight="1" spans="1:23">
      <c r="A45" s="12" t="s">
        <v>70</v>
      </c>
      <c r="B45" s="67"/>
      <c r="C45" s="14"/>
      <c r="D45" s="15">
        <f t="shared" ref="D45:H45" si="8">SUM(D46:D56)</f>
        <v>22</v>
      </c>
      <c r="E45" s="16">
        <f t="shared" si="8"/>
        <v>3872.6</v>
      </c>
      <c r="F45" s="14"/>
      <c r="G45" s="14"/>
      <c r="H45" s="16">
        <f t="shared" si="8"/>
        <v>185.8</v>
      </c>
      <c r="J45" s="14"/>
      <c r="K45" s="14"/>
      <c r="L45" s="16">
        <f>SUM(L46:L56)</f>
        <v>0</v>
      </c>
      <c r="M45" s="14"/>
      <c r="N45" s="14"/>
      <c r="O45" s="16"/>
      <c r="Q45" s="48"/>
      <c r="R45" s="48">
        <f>SUM(R46:R51)</f>
        <v>185.8</v>
      </c>
      <c r="S45" s="48"/>
      <c r="T45" s="49">
        <f>SUM(T46:T51)</f>
        <v>0</v>
      </c>
      <c r="U45" s="48"/>
      <c r="V45" s="48"/>
      <c r="W45" s="50"/>
    </row>
    <row r="46" spans="1:23">
      <c r="A46" s="19">
        <v>1</v>
      </c>
      <c r="B46" s="20">
        <v>43184</v>
      </c>
      <c r="C46" s="21">
        <v>4.1</v>
      </c>
      <c r="D46" s="22">
        <v>1</v>
      </c>
      <c r="E46" s="23">
        <f>ROUND(592.5/4*1,1)</f>
        <v>148.1</v>
      </c>
      <c r="F46" s="24" t="s">
        <v>43</v>
      </c>
      <c r="G46" s="19" t="s">
        <v>32</v>
      </c>
      <c r="H46" s="25">
        <f t="shared" ref="H46:H51" si="9">ROUND(E46*0.05,1)</f>
        <v>7.4</v>
      </c>
      <c r="J46" s="40"/>
      <c r="K46" s="19"/>
      <c r="L46" s="23"/>
      <c r="M46" s="40"/>
      <c r="N46" s="19"/>
      <c r="O46" s="23"/>
      <c r="Q46" s="48" t="s">
        <v>27</v>
      </c>
      <c r="R46" s="48">
        <f>SUMIF(G46:G56,Q46,H46:H56)</f>
        <v>60.6</v>
      </c>
      <c r="S46" s="48" t="s">
        <v>26</v>
      </c>
      <c r="T46" s="48">
        <f>SUMIF(K46:K56,S46,L46:L56)</f>
        <v>0</v>
      </c>
      <c r="U46" s="48" t="s">
        <v>28</v>
      </c>
      <c r="V46" s="48">
        <f>O45</f>
        <v>0</v>
      </c>
      <c r="W46" s="50"/>
    </row>
    <row r="47" spans="1:23">
      <c r="A47" s="19">
        <v>2</v>
      </c>
      <c r="B47" s="20">
        <v>43182</v>
      </c>
      <c r="C47" s="21" t="s">
        <v>211</v>
      </c>
      <c r="D47" s="22">
        <v>4</v>
      </c>
      <c r="E47" s="23">
        <v>786.2</v>
      </c>
      <c r="F47" s="24" t="s">
        <v>43</v>
      </c>
      <c r="G47" s="19" t="s">
        <v>32</v>
      </c>
      <c r="H47" s="25">
        <f t="shared" si="9"/>
        <v>39.3</v>
      </c>
      <c r="J47" s="20"/>
      <c r="K47" s="19"/>
      <c r="L47" s="23"/>
      <c r="M47" s="20"/>
      <c r="N47" s="19"/>
      <c r="O47" s="23"/>
      <c r="Q47" s="48" t="s">
        <v>25</v>
      </c>
      <c r="R47" s="48">
        <f>SUMIF(G46:G56,Q47,H46:H56)</f>
        <v>7.6</v>
      </c>
      <c r="S47" s="48" t="s">
        <v>29</v>
      </c>
      <c r="T47" s="48">
        <f>SUMIF(K46:K56,S47,L46:L56)</f>
        <v>0</v>
      </c>
      <c r="U47" s="48" t="s">
        <v>30</v>
      </c>
      <c r="V47" s="49">
        <f>ROUND(V46*W47,1)</f>
        <v>0</v>
      </c>
      <c r="W47" s="51">
        <v>0.8</v>
      </c>
    </row>
    <row r="48" spans="1:23">
      <c r="A48" s="19">
        <v>3</v>
      </c>
      <c r="B48" s="20">
        <v>43195</v>
      </c>
      <c r="C48" s="34">
        <v>4.2</v>
      </c>
      <c r="D48" s="22">
        <v>1</v>
      </c>
      <c r="E48" s="23">
        <v>151.2</v>
      </c>
      <c r="F48" s="24" t="s">
        <v>24</v>
      </c>
      <c r="G48" s="19" t="s">
        <v>27</v>
      </c>
      <c r="H48" s="25">
        <f t="shared" si="9"/>
        <v>7.6</v>
      </c>
      <c r="J48" s="20"/>
      <c r="K48" s="19"/>
      <c r="L48" s="23"/>
      <c r="M48" s="20"/>
      <c r="N48" s="19"/>
      <c r="O48" s="23"/>
      <c r="Q48" s="48" t="s">
        <v>32</v>
      </c>
      <c r="R48" s="48">
        <f>SUMIF(G46:G56,Q48,H46:H56)</f>
        <v>117.6</v>
      </c>
      <c r="S48" s="48" t="s">
        <v>33</v>
      </c>
      <c r="T48" s="48">
        <f>SUMIF(K46:K56,S48,L46:L56)</f>
        <v>0</v>
      </c>
      <c r="U48" s="48" t="s">
        <v>117</v>
      </c>
      <c r="V48" s="49">
        <f>ROUND(V46*W48,1)</f>
        <v>0</v>
      </c>
      <c r="W48" s="51">
        <v>0.2</v>
      </c>
    </row>
    <row r="49" spans="1:23">
      <c r="A49" s="19">
        <v>4</v>
      </c>
      <c r="B49" s="20">
        <v>43198</v>
      </c>
      <c r="C49" s="21" t="s">
        <v>212</v>
      </c>
      <c r="D49" s="22">
        <v>3</v>
      </c>
      <c r="E49" s="23">
        <v>604.2</v>
      </c>
      <c r="F49" s="24" t="s">
        <v>43</v>
      </c>
      <c r="G49" s="19" t="s">
        <v>32</v>
      </c>
      <c r="H49" s="25">
        <f t="shared" si="9"/>
        <v>30.2</v>
      </c>
      <c r="J49" s="20"/>
      <c r="K49" s="19"/>
      <c r="L49" s="23"/>
      <c r="M49" s="20"/>
      <c r="N49" s="19"/>
      <c r="O49" s="23"/>
      <c r="Q49" s="48" t="s">
        <v>35</v>
      </c>
      <c r="R49" s="48"/>
      <c r="S49" s="48" t="s">
        <v>36</v>
      </c>
      <c r="T49" s="48">
        <f>SUMIF(K46:K56,S49,L46:L56)</f>
        <v>0</v>
      </c>
      <c r="U49" s="48"/>
      <c r="V49" s="52"/>
      <c r="W49" s="51"/>
    </row>
    <row r="50" spans="1:23">
      <c r="A50" s="19">
        <v>5</v>
      </c>
      <c r="B50" s="20">
        <v>43186</v>
      </c>
      <c r="C50" s="21" t="s">
        <v>110</v>
      </c>
      <c r="D50" s="22">
        <v>4</v>
      </c>
      <c r="E50" s="23">
        <v>604.8</v>
      </c>
      <c r="F50" s="24" t="s">
        <v>24</v>
      </c>
      <c r="G50" s="19" t="s">
        <v>27</v>
      </c>
      <c r="H50" s="25">
        <f t="shared" si="9"/>
        <v>30.2</v>
      </c>
      <c r="J50" s="20"/>
      <c r="K50" s="19"/>
      <c r="L50" s="23"/>
      <c r="M50" s="20"/>
      <c r="N50" s="19"/>
      <c r="O50" s="23"/>
      <c r="Q50" s="48" t="s">
        <v>30</v>
      </c>
      <c r="R50" s="48"/>
      <c r="S50" s="48" t="s">
        <v>38</v>
      </c>
      <c r="T50" s="48">
        <f>SUMIF(K46:K56,S50,L46:L56)</f>
        <v>0</v>
      </c>
      <c r="U50" s="48"/>
      <c r="V50" s="52"/>
      <c r="W50" s="51"/>
    </row>
    <row r="51" spans="1:23">
      <c r="A51" s="19">
        <v>6</v>
      </c>
      <c r="B51" s="20">
        <v>43197</v>
      </c>
      <c r="C51" s="21">
        <v>4.25</v>
      </c>
      <c r="D51" s="22">
        <v>1</v>
      </c>
      <c r="E51" s="23">
        <v>151.2</v>
      </c>
      <c r="F51" s="24" t="s">
        <v>24</v>
      </c>
      <c r="G51" s="19" t="s">
        <v>27</v>
      </c>
      <c r="H51" s="25">
        <f t="shared" si="9"/>
        <v>7.6</v>
      </c>
      <c r="J51" s="20"/>
      <c r="K51" s="19"/>
      <c r="L51" s="23"/>
      <c r="M51" s="20"/>
      <c r="N51" s="19"/>
      <c r="O51" s="23"/>
      <c r="Q51" s="48" t="s">
        <v>39</v>
      </c>
      <c r="R51" s="48"/>
      <c r="S51" s="48" t="s">
        <v>40</v>
      </c>
      <c r="T51" s="48">
        <f>SUMIF(K46:K56,S51,L46:L56)</f>
        <v>0</v>
      </c>
      <c r="U51" s="48"/>
      <c r="V51" s="48"/>
      <c r="W51" s="50"/>
    </row>
    <row r="52" spans="1:15">
      <c r="A52" s="19">
        <v>7</v>
      </c>
      <c r="B52" s="20">
        <v>43200</v>
      </c>
      <c r="C52" s="34">
        <v>4.1</v>
      </c>
      <c r="D52" s="22">
        <v>1</v>
      </c>
      <c r="E52" s="23">
        <v>160</v>
      </c>
      <c r="F52" s="32" t="s">
        <v>37</v>
      </c>
      <c r="G52" s="19" t="s">
        <v>30</v>
      </c>
      <c r="H52" s="19"/>
      <c r="J52" s="20"/>
      <c r="K52" s="19"/>
      <c r="L52" s="23"/>
      <c r="M52" s="20"/>
      <c r="N52" s="19"/>
      <c r="O52" s="23"/>
    </row>
    <row r="53" spans="1:15">
      <c r="A53" s="19">
        <v>8</v>
      </c>
      <c r="B53" s="20">
        <v>43208</v>
      </c>
      <c r="C53" s="21">
        <v>4.23</v>
      </c>
      <c r="D53" s="22">
        <v>1</v>
      </c>
      <c r="E53" s="23">
        <v>151.2</v>
      </c>
      <c r="F53" s="24" t="s">
        <v>46</v>
      </c>
      <c r="G53" s="19" t="s">
        <v>25</v>
      </c>
      <c r="H53" s="25">
        <f>ROUND(E53*0.05,1)</f>
        <v>7.6</v>
      </c>
      <c r="J53" s="20"/>
      <c r="K53" s="19"/>
      <c r="L53" s="23"/>
      <c r="M53" s="20"/>
      <c r="N53" s="19"/>
      <c r="O53" s="23"/>
    </row>
    <row r="54" spans="1:15">
      <c r="A54" s="19">
        <v>9</v>
      </c>
      <c r="B54" s="20">
        <v>43211</v>
      </c>
      <c r="C54" s="21">
        <v>4.21</v>
      </c>
      <c r="D54" s="22">
        <v>1</v>
      </c>
      <c r="E54" s="23">
        <v>151.2</v>
      </c>
      <c r="F54" s="24" t="s">
        <v>24</v>
      </c>
      <c r="G54" s="19" t="s">
        <v>27</v>
      </c>
      <c r="H54" s="25">
        <f>ROUND(E54*0.05,1)</f>
        <v>7.6</v>
      </c>
      <c r="J54" s="20"/>
      <c r="K54" s="19"/>
      <c r="L54" s="23"/>
      <c r="M54" s="20"/>
      <c r="N54" s="19"/>
      <c r="O54" s="23"/>
    </row>
    <row r="55" spans="1:15">
      <c r="A55" s="19">
        <v>10</v>
      </c>
      <c r="B55" s="20">
        <v>43179</v>
      </c>
      <c r="C55" s="21" t="s">
        <v>136</v>
      </c>
      <c r="D55" s="22">
        <v>4</v>
      </c>
      <c r="E55" s="23">
        <f>ROUND(1016.6/5*4,1)</f>
        <v>813.3</v>
      </c>
      <c r="F55" s="32" t="s">
        <v>43</v>
      </c>
      <c r="G55" s="19" t="s">
        <v>32</v>
      </c>
      <c r="H55" s="25">
        <f t="shared" ref="H55:H62" si="10">ROUND(E55*0.05,1)</f>
        <v>40.7</v>
      </c>
      <c r="J55" s="20"/>
      <c r="K55" s="19"/>
      <c r="L55" s="23"/>
      <c r="M55" s="20"/>
      <c r="N55" s="19"/>
      <c r="O55" s="23"/>
    </row>
    <row r="56" spans="1:15">
      <c r="A56" s="19">
        <v>11</v>
      </c>
      <c r="B56" s="20">
        <v>43214</v>
      </c>
      <c r="C56" s="21">
        <v>4.24</v>
      </c>
      <c r="D56" s="22">
        <v>1</v>
      </c>
      <c r="E56" s="23">
        <v>151.2</v>
      </c>
      <c r="F56" s="24" t="s">
        <v>24</v>
      </c>
      <c r="G56" s="19" t="s">
        <v>27</v>
      </c>
      <c r="H56" s="25">
        <f t="shared" si="10"/>
        <v>7.6</v>
      </c>
      <c r="J56" s="20"/>
      <c r="K56" s="19"/>
      <c r="L56" s="23"/>
      <c r="M56" s="20"/>
      <c r="N56" s="19"/>
      <c r="O56" s="23"/>
    </row>
    <row r="57" ht="30" customHeight="1" spans="1:15">
      <c r="A57" s="12" t="s">
        <v>76</v>
      </c>
      <c r="B57" s="67"/>
      <c r="C57" s="14"/>
      <c r="D57" s="15">
        <f t="shared" ref="D57:H57" si="11">SUM(D58:D68)</f>
        <v>10</v>
      </c>
      <c r="E57" s="16">
        <f t="shared" si="11"/>
        <v>1623</v>
      </c>
      <c r="F57" s="14"/>
      <c r="G57" s="14"/>
      <c r="H57" s="16">
        <f t="shared" si="11"/>
        <v>81.1</v>
      </c>
      <c r="J57" s="14"/>
      <c r="K57" s="14"/>
      <c r="L57" s="16">
        <f>SUM(L58:L68)</f>
        <v>0</v>
      </c>
      <c r="M57" s="14"/>
      <c r="N57" s="14"/>
      <c r="O57" s="16"/>
    </row>
    <row r="58" spans="1:15">
      <c r="A58" s="19">
        <v>1</v>
      </c>
      <c r="B58" s="20">
        <v>43179</v>
      </c>
      <c r="C58" s="21">
        <v>5.1</v>
      </c>
      <c r="D58" s="22">
        <v>1</v>
      </c>
      <c r="E58" s="23">
        <f>ROUND(1016.6/5*1,1)</f>
        <v>203.3</v>
      </c>
      <c r="F58" s="32" t="s">
        <v>43</v>
      </c>
      <c r="G58" s="19" t="s">
        <v>32</v>
      </c>
      <c r="H58" s="25">
        <f t="shared" si="10"/>
        <v>10.2</v>
      </c>
      <c r="J58" s="40"/>
      <c r="K58" s="19"/>
      <c r="L58" s="23"/>
      <c r="M58" s="40"/>
      <c r="N58" s="19"/>
      <c r="O58" s="23"/>
    </row>
    <row r="59" spans="1:15">
      <c r="A59" s="19">
        <v>2</v>
      </c>
      <c r="B59" s="20">
        <v>43182</v>
      </c>
      <c r="C59" s="21" t="s">
        <v>213</v>
      </c>
      <c r="D59" s="22">
        <v>3</v>
      </c>
      <c r="E59" s="23">
        <v>458.9</v>
      </c>
      <c r="F59" s="24" t="s">
        <v>43</v>
      </c>
      <c r="G59" s="19" t="s">
        <v>32</v>
      </c>
      <c r="H59" s="25">
        <f t="shared" si="10"/>
        <v>22.9</v>
      </c>
      <c r="J59" s="20"/>
      <c r="K59" s="19"/>
      <c r="L59" s="23"/>
      <c r="M59" s="20"/>
      <c r="N59" s="19"/>
      <c r="O59" s="23"/>
    </row>
    <row r="60" spans="1:15">
      <c r="A60" s="19">
        <v>3</v>
      </c>
      <c r="B60" s="20">
        <v>43209</v>
      </c>
      <c r="C60" s="21" t="s">
        <v>214</v>
      </c>
      <c r="D60" s="22">
        <v>2</v>
      </c>
      <c r="E60" s="23">
        <v>356</v>
      </c>
      <c r="F60" s="24" t="s">
        <v>37</v>
      </c>
      <c r="G60" s="19" t="s">
        <v>25</v>
      </c>
      <c r="H60" s="25">
        <f t="shared" si="10"/>
        <v>17.8</v>
      </c>
      <c r="J60" s="20"/>
      <c r="K60" s="19"/>
      <c r="L60" s="23"/>
      <c r="M60" s="20"/>
      <c r="N60" s="19"/>
      <c r="O60" s="23"/>
    </row>
    <row r="61" spans="1:15">
      <c r="A61" s="19">
        <v>4</v>
      </c>
      <c r="B61" s="20">
        <v>43209</v>
      </c>
      <c r="C61" s="21" t="s">
        <v>215</v>
      </c>
      <c r="D61" s="22">
        <v>2</v>
      </c>
      <c r="E61" s="23">
        <v>302.4</v>
      </c>
      <c r="F61" s="24" t="s">
        <v>24</v>
      </c>
      <c r="G61" s="19" t="s">
        <v>27</v>
      </c>
      <c r="H61" s="25">
        <f t="shared" si="10"/>
        <v>15.1</v>
      </c>
      <c r="J61" s="20"/>
      <c r="K61" s="19"/>
      <c r="L61" s="23"/>
      <c r="M61" s="20"/>
      <c r="N61" s="19"/>
      <c r="O61" s="23"/>
    </row>
    <row r="62" spans="1:15">
      <c r="A62" s="19">
        <v>5</v>
      </c>
      <c r="B62" s="20">
        <v>43209</v>
      </c>
      <c r="C62" s="21" t="s">
        <v>216</v>
      </c>
      <c r="D62" s="22">
        <v>2</v>
      </c>
      <c r="E62" s="23">
        <v>302.4</v>
      </c>
      <c r="F62" s="24" t="s">
        <v>24</v>
      </c>
      <c r="G62" s="19" t="s">
        <v>27</v>
      </c>
      <c r="H62" s="25">
        <f t="shared" si="10"/>
        <v>15.1</v>
      </c>
      <c r="J62" s="20"/>
      <c r="K62" s="19"/>
      <c r="L62" s="23"/>
      <c r="M62" s="20"/>
      <c r="N62" s="19"/>
      <c r="O62" s="23"/>
    </row>
    <row r="63" spans="1:15">
      <c r="A63" s="19">
        <v>6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7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spans="1:15">
      <c r="A65" s="19">
        <v>8</v>
      </c>
      <c r="B65" s="20"/>
      <c r="C65" s="21"/>
      <c r="D65" s="22"/>
      <c r="E65" s="23"/>
      <c r="F65" s="24"/>
      <c r="G65" s="19"/>
      <c r="H65" s="19"/>
      <c r="J65" s="20"/>
      <c r="K65" s="19"/>
      <c r="L65" s="23"/>
      <c r="M65" s="20"/>
      <c r="N65" s="19"/>
      <c r="O65" s="23"/>
    </row>
    <row r="66" spans="1:15">
      <c r="A66" s="19">
        <v>9</v>
      </c>
      <c r="B66" s="20"/>
      <c r="C66" s="21"/>
      <c r="D66" s="22"/>
      <c r="E66" s="23"/>
      <c r="F66" s="24"/>
      <c r="G66" s="19"/>
      <c r="H66" s="19"/>
      <c r="J66" s="20"/>
      <c r="K66" s="19"/>
      <c r="L66" s="23"/>
      <c r="M66" s="20"/>
      <c r="N66" s="19"/>
      <c r="O66" s="23"/>
    </row>
    <row r="67" spans="1:15">
      <c r="A67" s="19">
        <v>10</v>
      </c>
      <c r="B67" s="20"/>
      <c r="C67" s="21"/>
      <c r="D67" s="22"/>
      <c r="E67" s="23"/>
      <c r="F67" s="24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11</v>
      </c>
      <c r="B68" s="20"/>
      <c r="C68" s="21"/>
      <c r="D68" s="22"/>
      <c r="E68" s="23"/>
      <c r="F68" s="24"/>
      <c r="G68" s="19"/>
      <c r="H68" s="19"/>
      <c r="J68" s="20"/>
      <c r="K68" s="19"/>
      <c r="L68" s="23"/>
      <c r="M68" s="20"/>
      <c r="N68" s="19"/>
      <c r="O68" s="23"/>
    </row>
    <row r="69" ht="30" customHeight="1" spans="1:15">
      <c r="A69" s="12" t="s">
        <v>80</v>
      </c>
      <c r="B69" s="67"/>
      <c r="C69" s="14"/>
      <c r="D69" s="15">
        <f t="shared" ref="D69:H69" si="12">SUM(D70:D80)</f>
        <v>0</v>
      </c>
      <c r="E69" s="16">
        <f t="shared" si="12"/>
        <v>0</v>
      </c>
      <c r="F69" s="14"/>
      <c r="G69" s="14"/>
      <c r="H69" s="16">
        <f t="shared" si="12"/>
        <v>0</v>
      </c>
      <c r="J69" s="14"/>
      <c r="K69" s="14"/>
      <c r="L69" s="16">
        <f>SUM(L70:L80)</f>
        <v>0</v>
      </c>
      <c r="M69" s="14"/>
      <c r="N69" s="14"/>
      <c r="O69" s="16"/>
    </row>
    <row r="70" spans="1:15">
      <c r="A70" s="19">
        <v>1</v>
      </c>
      <c r="B70" s="20"/>
      <c r="C70" s="21"/>
      <c r="D70" s="22"/>
      <c r="E70" s="23"/>
      <c r="F70" s="24"/>
      <c r="G70" s="19"/>
      <c r="H70" s="19"/>
      <c r="J70" s="40"/>
      <c r="K70" s="19"/>
      <c r="L70" s="23"/>
      <c r="M70" s="40"/>
      <c r="N70" s="19"/>
      <c r="O70" s="23"/>
    </row>
    <row r="71" spans="1:15">
      <c r="A71" s="19">
        <v>2</v>
      </c>
      <c r="B71" s="20"/>
      <c r="C71" s="21"/>
      <c r="D71" s="22"/>
      <c r="E71" s="23"/>
      <c r="F71" s="19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3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4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5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6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7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spans="1:15">
      <c r="A77" s="19">
        <v>8</v>
      </c>
      <c r="B77" s="20"/>
      <c r="C77" s="21"/>
      <c r="D77" s="22"/>
      <c r="E77" s="23"/>
      <c r="F77" s="24"/>
      <c r="G77" s="19"/>
      <c r="H77" s="19"/>
      <c r="J77" s="20"/>
      <c r="K77" s="19"/>
      <c r="L77" s="23"/>
      <c r="M77" s="20"/>
      <c r="N77" s="19"/>
      <c r="O77" s="23"/>
    </row>
    <row r="78" spans="1:15">
      <c r="A78" s="19">
        <v>9</v>
      </c>
      <c r="B78" s="20"/>
      <c r="C78" s="21"/>
      <c r="D78" s="22"/>
      <c r="E78" s="23"/>
      <c r="F78" s="24"/>
      <c r="G78" s="19"/>
      <c r="H78" s="19"/>
      <c r="J78" s="20"/>
      <c r="K78" s="19"/>
      <c r="L78" s="23"/>
      <c r="M78" s="20"/>
      <c r="N78" s="19"/>
      <c r="O78" s="23"/>
    </row>
    <row r="79" spans="1:15">
      <c r="A79" s="19">
        <v>10</v>
      </c>
      <c r="B79" s="20"/>
      <c r="C79" s="21"/>
      <c r="D79" s="22"/>
      <c r="E79" s="23"/>
      <c r="F79" s="24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11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ht="30" customHeight="1" spans="1:15">
      <c r="A81" s="12" t="s">
        <v>82</v>
      </c>
      <c r="B81" s="67"/>
      <c r="C81" s="14"/>
      <c r="D81" s="15">
        <f t="shared" ref="D81:H81" si="13">SUM(D82:D92)</f>
        <v>0</v>
      </c>
      <c r="E81" s="16">
        <f t="shared" si="13"/>
        <v>0</v>
      </c>
      <c r="F81" s="14"/>
      <c r="G81" s="14"/>
      <c r="H81" s="16">
        <f t="shared" si="13"/>
        <v>0</v>
      </c>
      <c r="J81" s="14"/>
      <c r="K81" s="14"/>
      <c r="L81" s="16">
        <f>SUM(L82:L92)</f>
        <v>0</v>
      </c>
      <c r="M81" s="14"/>
      <c r="N81" s="14"/>
      <c r="O81" s="16"/>
    </row>
    <row r="82" spans="1:15">
      <c r="A82" s="19">
        <v>1</v>
      </c>
      <c r="B82" s="20"/>
      <c r="C82" s="21"/>
      <c r="D82" s="22"/>
      <c r="E82" s="23"/>
      <c r="F82" s="24"/>
      <c r="G82" s="19"/>
      <c r="H82" s="19"/>
      <c r="J82" s="40"/>
      <c r="K82" s="19"/>
      <c r="L82" s="23"/>
      <c r="M82" s="40"/>
      <c r="N82" s="19"/>
      <c r="O82" s="23"/>
    </row>
    <row r="83" spans="1:15">
      <c r="A83" s="19">
        <v>2</v>
      </c>
      <c r="B83" s="20"/>
      <c r="C83" s="21"/>
      <c r="D83" s="22"/>
      <c r="E83" s="23"/>
      <c r="F83" s="19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3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4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5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6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7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spans="1:15">
      <c r="A89" s="19">
        <v>8</v>
      </c>
      <c r="B89" s="20"/>
      <c r="C89" s="21"/>
      <c r="D89" s="22"/>
      <c r="E89" s="23"/>
      <c r="F89" s="24"/>
      <c r="G89" s="19"/>
      <c r="H89" s="19"/>
      <c r="J89" s="20"/>
      <c r="K89" s="19"/>
      <c r="L89" s="23"/>
      <c r="M89" s="20"/>
      <c r="N89" s="19"/>
      <c r="O89" s="23"/>
    </row>
    <row r="90" spans="1:15">
      <c r="A90" s="19">
        <v>9</v>
      </c>
      <c r="B90" s="20"/>
      <c r="C90" s="21"/>
      <c r="D90" s="22"/>
      <c r="E90" s="23"/>
      <c r="F90" s="24"/>
      <c r="G90" s="19"/>
      <c r="H90" s="19"/>
      <c r="J90" s="20"/>
      <c r="K90" s="19"/>
      <c r="L90" s="23"/>
      <c r="M90" s="20"/>
      <c r="N90" s="19"/>
      <c r="O90" s="23"/>
    </row>
    <row r="91" spans="1:15">
      <c r="A91" s="19">
        <v>10</v>
      </c>
      <c r="B91" s="20"/>
      <c r="C91" s="21"/>
      <c r="D91" s="22"/>
      <c r="E91" s="23"/>
      <c r="F91" s="24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11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ht="30" customHeight="1" spans="1:15">
      <c r="A93" s="12" t="s">
        <v>83</v>
      </c>
      <c r="B93" s="67"/>
      <c r="C93" s="14"/>
      <c r="D93" s="15">
        <f t="shared" ref="D93:H93" si="14">SUM(D94:D104)</f>
        <v>0</v>
      </c>
      <c r="E93" s="16">
        <f t="shared" si="14"/>
        <v>0</v>
      </c>
      <c r="F93" s="14"/>
      <c r="G93" s="14"/>
      <c r="H93" s="16">
        <f t="shared" si="14"/>
        <v>0</v>
      </c>
      <c r="J93" s="14"/>
      <c r="K93" s="14"/>
      <c r="L93" s="16">
        <f>SUM(L94:L104)</f>
        <v>0</v>
      </c>
      <c r="M93" s="14"/>
      <c r="N93" s="14"/>
      <c r="O93" s="16"/>
    </row>
    <row r="94" spans="1:15">
      <c r="A94" s="19">
        <v>1</v>
      </c>
      <c r="B94" s="20"/>
      <c r="C94" s="21"/>
      <c r="D94" s="22"/>
      <c r="E94" s="23"/>
      <c r="F94" s="24"/>
      <c r="G94" s="19"/>
      <c r="H94" s="19"/>
      <c r="J94" s="40"/>
      <c r="K94" s="19"/>
      <c r="L94" s="23"/>
      <c r="M94" s="40"/>
      <c r="N94" s="19"/>
      <c r="O94" s="23"/>
    </row>
    <row r="95" spans="1:15">
      <c r="A95" s="19">
        <v>2</v>
      </c>
      <c r="B95" s="20"/>
      <c r="C95" s="21"/>
      <c r="D95" s="22"/>
      <c r="E95" s="23"/>
      <c r="F95" s="19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3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4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5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6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7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spans="1:15">
      <c r="A101" s="19">
        <v>8</v>
      </c>
      <c r="B101" s="20"/>
      <c r="C101" s="21"/>
      <c r="D101" s="22"/>
      <c r="E101" s="23"/>
      <c r="F101" s="24"/>
      <c r="G101" s="19"/>
      <c r="H101" s="19"/>
      <c r="J101" s="20"/>
      <c r="K101" s="19"/>
      <c r="L101" s="23"/>
      <c r="M101" s="20"/>
      <c r="N101" s="19"/>
      <c r="O101" s="23"/>
    </row>
    <row r="102" spans="1:15">
      <c r="A102" s="19">
        <v>9</v>
      </c>
      <c r="B102" s="20"/>
      <c r="C102" s="21"/>
      <c r="D102" s="22"/>
      <c r="E102" s="23"/>
      <c r="F102" s="24"/>
      <c r="G102" s="19"/>
      <c r="H102" s="19"/>
      <c r="J102" s="20"/>
      <c r="K102" s="19"/>
      <c r="L102" s="23"/>
      <c r="M102" s="20"/>
      <c r="N102" s="19"/>
      <c r="O102" s="23"/>
    </row>
    <row r="103" spans="1:15">
      <c r="A103" s="19">
        <v>10</v>
      </c>
      <c r="B103" s="20"/>
      <c r="C103" s="21"/>
      <c r="D103" s="22"/>
      <c r="E103" s="23"/>
      <c r="F103" s="24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11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ht="30" customHeight="1" spans="1:15">
      <c r="A105" s="12" t="s">
        <v>84</v>
      </c>
      <c r="B105" s="67"/>
      <c r="C105" s="14"/>
      <c r="D105" s="15">
        <f t="shared" ref="D105:H105" si="15">SUM(D106:D116)</f>
        <v>0</v>
      </c>
      <c r="E105" s="16">
        <f t="shared" si="15"/>
        <v>0</v>
      </c>
      <c r="F105" s="14"/>
      <c r="G105" s="14"/>
      <c r="H105" s="16">
        <f t="shared" si="15"/>
        <v>0</v>
      </c>
      <c r="J105" s="14"/>
      <c r="K105" s="14"/>
      <c r="L105" s="16">
        <f>SUM(L106:L116)</f>
        <v>0</v>
      </c>
      <c r="M105" s="14"/>
      <c r="N105" s="14"/>
      <c r="O105" s="16"/>
    </row>
    <row r="106" spans="1:15">
      <c r="A106" s="19">
        <v>1</v>
      </c>
      <c r="B106" s="20"/>
      <c r="C106" s="21"/>
      <c r="D106" s="22"/>
      <c r="E106" s="23"/>
      <c r="F106" s="24"/>
      <c r="G106" s="19"/>
      <c r="H106" s="19"/>
      <c r="J106" s="40"/>
      <c r="K106" s="19"/>
      <c r="L106" s="23"/>
      <c r="M106" s="40"/>
      <c r="N106" s="19"/>
      <c r="O106" s="23"/>
    </row>
    <row r="107" spans="1:15">
      <c r="A107" s="19">
        <v>2</v>
      </c>
      <c r="B107" s="20"/>
      <c r="C107" s="21"/>
      <c r="D107" s="22"/>
      <c r="E107" s="23"/>
      <c r="F107" s="19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3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4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5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6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7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spans="1:15">
      <c r="A113" s="19">
        <v>8</v>
      </c>
      <c r="B113" s="20"/>
      <c r="C113" s="21"/>
      <c r="D113" s="22"/>
      <c r="E113" s="23"/>
      <c r="F113" s="24"/>
      <c r="G113" s="19"/>
      <c r="H113" s="19"/>
      <c r="J113" s="20"/>
      <c r="K113" s="19"/>
      <c r="L113" s="23"/>
      <c r="M113" s="20"/>
      <c r="N113" s="19"/>
      <c r="O113" s="23"/>
    </row>
    <row r="114" spans="1:15">
      <c r="A114" s="19">
        <v>9</v>
      </c>
      <c r="B114" s="20"/>
      <c r="C114" s="21"/>
      <c r="D114" s="22"/>
      <c r="E114" s="23"/>
      <c r="F114" s="24"/>
      <c r="G114" s="19"/>
      <c r="H114" s="19"/>
      <c r="J114" s="20"/>
      <c r="K114" s="19"/>
      <c r="L114" s="23"/>
      <c r="M114" s="20"/>
      <c r="N114" s="19"/>
      <c r="O114" s="23"/>
    </row>
    <row r="115" spans="1:15">
      <c r="A115" s="19">
        <v>10</v>
      </c>
      <c r="B115" s="20"/>
      <c r="C115" s="21"/>
      <c r="D115" s="22"/>
      <c r="E115" s="23"/>
      <c r="F115" s="24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11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ht="30" customHeight="1" spans="1:15">
      <c r="A117" s="12" t="s">
        <v>85</v>
      </c>
      <c r="B117" s="67"/>
      <c r="C117" s="14"/>
      <c r="D117" s="15">
        <f t="shared" ref="D117:H117" si="16">SUM(D118:D128)</f>
        <v>0</v>
      </c>
      <c r="E117" s="16">
        <f t="shared" si="16"/>
        <v>0</v>
      </c>
      <c r="F117" s="14"/>
      <c r="G117" s="14"/>
      <c r="H117" s="16">
        <f t="shared" si="16"/>
        <v>0</v>
      </c>
      <c r="J117" s="14"/>
      <c r="K117" s="14"/>
      <c r="L117" s="16">
        <f>SUM(L118:L128)</f>
        <v>0</v>
      </c>
      <c r="M117" s="14"/>
      <c r="N117" s="14"/>
      <c r="O117" s="16"/>
    </row>
    <row r="118" spans="1:15">
      <c r="A118" s="19">
        <v>1</v>
      </c>
      <c r="B118" s="20"/>
      <c r="C118" s="21"/>
      <c r="D118" s="22"/>
      <c r="E118" s="23"/>
      <c r="F118" s="24"/>
      <c r="G118" s="19"/>
      <c r="H118" s="19"/>
      <c r="J118" s="40"/>
      <c r="K118" s="19"/>
      <c r="L118" s="23"/>
      <c r="M118" s="40"/>
      <c r="N118" s="19"/>
      <c r="O118" s="23"/>
    </row>
    <row r="119" spans="1:15">
      <c r="A119" s="19">
        <v>2</v>
      </c>
      <c r="B119" s="20"/>
      <c r="C119" s="21"/>
      <c r="D119" s="22"/>
      <c r="E119" s="23"/>
      <c r="F119" s="19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3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4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5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6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7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spans="1:15">
      <c r="A125" s="19">
        <v>8</v>
      </c>
      <c r="B125" s="20"/>
      <c r="C125" s="21"/>
      <c r="D125" s="22"/>
      <c r="E125" s="23"/>
      <c r="F125" s="24"/>
      <c r="G125" s="19"/>
      <c r="H125" s="19"/>
      <c r="J125" s="20"/>
      <c r="K125" s="19"/>
      <c r="L125" s="23"/>
      <c r="M125" s="20"/>
      <c r="N125" s="19"/>
      <c r="O125" s="23"/>
    </row>
    <row r="126" spans="1:15">
      <c r="A126" s="19">
        <v>9</v>
      </c>
      <c r="B126" s="20"/>
      <c r="C126" s="21"/>
      <c r="D126" s="22"/>
      <c r="E126" s="23"/>
      <c r="F126" s="24"/>
      <c r="G126" s="19"/>
      <c r="H126" s="19"/>
      <c r="J126" s="20"/>
      <c r="K126" s="19"/>
      <c r="L126" s="23"/>
      <c r="M126" s="20"/>
      <c r="N126" s="19"/>
      <c r="O126" s="23"/>
    </row>
    <row r="127" spans="1:15">
      <c r="A127" s="19">
        <v>10</v>
      </c>
      <c r="B127" s="20"/>
      <c r="C127" s="21"/>
      <c r="D127" s="22"/>
      <c r="E127" s="23"/>
      <c r="F127" s="24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11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ht="30" customHeight="1" spans="1:15">
      <c r="A129" s="12" t="s">
        <v>86</v>
      </c>
      <c r="B129" s="67"/>
      <c r="C129" s="14"/>
      <c r="D129" s="15">
        <f t="shared" ref="D129:H129" si="17">SUM(D130:D140)</f>
        <v>0</v>
      </c>
      <c r="E129" s="16">
        <f t="shared" si="17"/>
        <v>0</v>
      </c>
      <c r="F129" s="14"/>
      <c r="G129" s="14"/>
      <c r="H129" s="16">
        <f t="shared" si="17"/>
        <v>0</v>
      </c>
      <c r="J129" s="14"/>
      <c r="K129" s="14"/>
      <c r="L129" s="16">
        <f>SUM(L130:L140)</f>
        <v>0</v>
      </c>
      <c r="M129" s="14"/>
      <c r="N129" s="14"/>
      <c r="O129" s="16"/>
    </row>
    <row r="130" spans="1:15">
      <c r="A130" s="19">
        <v>1</v>
      </c>
      <c r="B130" s="20"/>
      <c r="C130" s="21"/>
      <c r="D130" s="22"/>
      <c r="E130" s="23"/>
      <c r="F130" s="24"/>
      <c r="G130" s="19"/>
      <c r="H130" s="19"/>
      <c r="J130" s="40"/>
      <c r="K130" s="19"/>
      <c r="L130" s="23"/>
      <c r="M130" s="40"/>
      <c r="N130" s="19"/>
      <c r="O130" s="23"/>
    </row>
    <row r="131" spans="1:15">
      <c r="A131" s="19">
        <v>2</v>
      </c>
      <c r="B131" s="20"/>
      <c r="C131" s="21"/>
      <c r="D131" s="22"/>
      <c r="E131" s="23"/>
      <c r="F131" s="19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3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4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5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6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7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spans="1:15">
      <c r="A137" s="19">
        <v>8</v>
      </c>
      <c r="B137" s="20"/>
      <c r="C137" s="21"/>
      <c r="D137" s="22"/>
      <c r="E137" s="23"/>
      <c r="F137" s="24"/>
      <c r="G137" s="19"/>
      <c r="H137" s="19"/>
      <c r="J137" s="20"/>
      <c r="K137" s="19"/>
      <c r="L137" s="23"/>
      <c r="M137" s="20"/>
      <c r="N137" s="19"/>
      <c r="O137" s="23"/>
    </row>
    <row r="138" spans="1:15">
      <c r="A138" s="19">
        <v>9</v>
      </c>
      <c r="B138" s="20"/>
      <c r="C138" s="21"/>
      <c r="D138" s="22"/>
      <c r="E138" s="23"/>
      <c r="F138" s="24"/>
      <c r="G138" s="19"/>
      <c r="H138" s="19"/>
      <c r="J138" s="20"/>
      <c r="K138" s="19"/>
      <c r="L138" s="23"/>
      <c r="M138" s="20"/>
      <c r="N138" s="19"/>
      <c r="O138" s="23"/>
    </row>
    <row r="139" spans="1:15">
      <c r="A139" s="19">
        <v>10</v>
      </c>
      <c r="B139" s="20"/>
      <c r="C139" s="21"/>
      <c r="D139" s="22"/>
      <c r="E139" s="23"/>
      <c r="F139" s="24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11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ht="30" customHeight="1" spans="1:15">
      <c r="A141" s="12" t="s">
        <v>87</v>
      </c>
      <c r="B141" s="67"/>
      <c r="C141" s="14"/>
      <c r="D141" s="15">
        <f t="shared" ref="D141:H141" si="18">SUM(D142:D152)</f>
        <v>0</v>
      </c>
      <c r="E141" s="16">
        <f t="shared" si="18"/>
        <v>0</v>
      </c>
      <c r="F141" s="14"/>
      <c r="G141" s="14"/>
      <c r="H141" s="16">
        <f t="shared" si="18"/>
        <v>0</v>
      </c>
      <c r="J141" s="14"/>
      <c r="K141" s="14"/>
      <c r="L141" s="16">
        <f>SUM(L142:L152)</f>
        <v>0</v>
      </c>
      <c r="M141" s="14"/>
      <c r="N141" s="14"/>
      <c r="O141" s="16"/>
    </row>
    <row r="142" spans="1:15">
      <c r="A142" s="19">
        <v>1</v>
      </c>
      <c r="B142" s="20"/>
      <c r="C142" s="21"/>
      <c r="D142" s="22"/>
      <c r="E142" s="23"/>
      <c r="F142" s="24"/>
      <c r="G142" s="19"/>
      <c r="H142" s="19"/>
      <c r="J142" s="40"/>
      <c r="K142" s="19"/>
      <c r="L142" s="23"/>
      <c r="M142" s="40"/>
      <c r="N142" s="19"/>
      <c r="O142" s="23"/>
    </row>
    <row r="143" spans="1:15">
      <c r="A143" s="19">
        <v>2</v>
      </c>
      <c r="B143" s="20"/>
      <c r="C143" s="21"/>
      <c r="D143" s="22"/>
      <c r="E143" s="23"/>
      <c r="F143" s="19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3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4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5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6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7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  <row r="149" spans="1:15">
      <c r="A149" s="19">
        <v>8</v>
      </c>
      <c r="B149" s="20"/>
      <c r="C149" s="21"/>
      <c r="D149" s="22"/>
      <c r="E149" s="23"/>
      <c r="F149" s="24"/>
      <c r="G149" s="19"/>
      <c r="H149" s="19"/>
      <c r="J149" s="20"/>
      <c r="K149" s="19"/>
      <c r="L149" s="23"/>
      <c r="M149" s="20"/>
      <c r="N149" s="19"/>
      <c r="O149" s="23"/>
    </row>
    <row r="150" spans="1:15">
      <c r="A150" s="19">
        <v>9</v>
      </c>
      <c r="B150" s="20"/>
      <c r="C150" s="21"/>
      <c r="D150" s="22"/>
      <c r="E150" s="23"/>
      <c r="F150" s="24"/>
      <c r="G150" s="19"/>
      <c r="H150" s="19"/>
      <c r="J150" s="20"/>
      <c r="K150" s="19"/>
      <c r="L150" s="23"/>
      <c r="M150" s="20"/>
      <c r="N150" s="19"/>
      <c r="O150" s="23"/>
    </row>
    <row r="151" spans="1:15">
      <c r="A151" s="19">
        <v>10</v>
      </c>
      <c r="B151" s="20"/>
      <c r="C151" s="21"/>
      <c r="D151" s="22"/>
      <c r="E151" s="23"/>
      <c r="F151" s="24"/>
      <c r="G151" s="19"/>
      <c r="H151" s="19"/>
      <c r="J151" s="20"/>
      <c r="K151" s="19"/>
      <c r="L151" s="23"/>
      <c r="M151" s="20"/>
      <c r="N151" s="19"/>
      <c r="O151" s="23"/>
    </row>
    <row r="152" spans="1:15">
      <c r="A152" s="19">
        <v>11</v>
      </c>
      <c r="B152" s="20"/>
      <c r="C152" s="21"/>
      <c r="D152" s="22"/>
      <c r="E152" s="23"/>
      <c r="F152" s="24"/>
      <c r="G152" s="19"/>
      <c r="H152" s="19"/>
      <c r="J152" s="20"/>
      <c r="K152" s="19"/>
      <c r="L152" s="23"/>
      <c r="M152" s="20"/>
      <c r="N152" s="19"/>
      <c r="O152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6 G10 G12:G14 G16:G18 G63:G68 G70:G80 G82:G92 G94:G104 G106:G116 G118:G128 G130:G140 G142:G152 N10:N12 N16:N19 N29:N31 N34:N44 N46:N56 N58:N68 N70:N80 N82:N92 N94:N104 N106:N116 N118:N128 N130:N140 N142:N152">
      <formula1>"王,娟,敏,蕾,佩,松"</formula1>
    </dataValidation>
    <dataValidation type="list" allowBlank="1" showInputMessage="1" showErrorMessage="1" sqref="G11 G15 G19 M33 G7:G9 G21:G31 G33:G44 G46:G56 G58:G62 M6:M15 M21:M28">
      <formula1>"王,娟,蕾,敏,佩,松"</formula1>
    </dataValidation>
    <dataValidation type="list" allowBlank="1" showInputMessage="1" sqref="F21 F23 F25 F31 F6:F19 F63:F67 F70:F79 F82:F91 F94:F103 F106:F115 F118:F127 F130:F139 F142:F151">
      <formula1>"小猪,蚂蚁,BNB,途家,闲鱼,线下"</formula1>
    </dataValidation>
    <dataValidation type="list" allowBlank="1" showInputMessage="1" sqref="F22 F24 F56 F26:F30 F33:F35 F48:F49 F51:F54 F60:F62">
      <formula1>"小猪,蚂蚁,BNB,途家,闲鱼"</formula1>
    </dataValidation>
    <dataValidation type="list" allowBlank="1" showInputMessage="1" showErrorMessage="1" sqref="F50 F55 F58 F36:F44 F46:F47">
      <formula1>"小猪,蚂蚁,BNB,途家,闲鱼,线下"</formula1>
    </dataValidation>
    <dataValidation type="list" allowBlank="1" showInputMessage="1" showErrorMessage="1" sqref="F59 F68 F80 F92 F104 F116 F128 F140 F152">
      <formula1>"小猪,蚂蚁,BNB,途家,闲鱼"</formula1>
    </dataValidation>
    <dataValidation type="list" allowBlank="1" showInputMessage="1" showErrorMessage="1" sqref="K6:K19 K21:K31 K33:K44 K46:K56 K58:K68 K70:K80 K82:K92 K94:K104 K106:K116 K118:K128 K130:K140 K142:K152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9"/>
  </sheetPr>
  <dimension ref="A1:W148"/>
  <sheetViews>
    <sheetView zoomScale="85" zoomScaleNormal="85" workbookViewId="0">
      <pane xSplit="1" ySplit="4" topLeftCell="B37" activePane="bottomRight" state="frozen"/>
      <selection/>
      <selection pane="topRight"/>
      <selection pane="bottomLeft"/>
      <selection pane="bottomRight" activeCell="B50" sqref="B50"/>
    </sheetView>
  </sheetViews>
  <sheetFormatPr defaultColWidth="9" defaultRowHeight="15"/>
  <cols>
    <col min="1" max="1" width="6" style="2" customWidth="1"/>
    <col min="2" max="2" width="10" style="2" customWidth="1"/>
    <col min="3" max="3" width="9" style="5" customWidth="1"/>
    <col min="4" max="5" width="9" style="2" customWidth="1"/>
    <col min="6" max="6" width="5.375" style="2"/>
    <col min="7" max="7" width="7.375" style="2"/>
    <col min="8" max="8" width="9" style="2" customWidth="1"/>
    <col min="9" max="9" width="3.125" style="2" customWidth="1"/>
    <col min="10" max="12" width="9" style="2" customWidth="1"/>
    <col min="13" max="13" width="5.375" style="2"/>
    <col min="14" max="15" width="9" style="2" customWidth="1"/>
    <col min="16" max="16" width="2.25" customWidth="1"/>
    <col min="17" max="17" width="5.625"/>
    <col min="18" max="18" width="6.375"/>
    <col min="19" max="19" width="5.625"/>
    <col min="20" max="20" width="8.41666666666667"/>
    <col min="21" max="21" width="5.625"/>
    <col min="22" max="22" width="8.375"/>
    <col min="23" max="23" width="5.625"/>
  </cols>
  <sheetData>
    <row r="1" s="4" customFormat="1" ht="39" customHeight="1" spans="1:23">
      <c r="A1" s="6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43"/>
      <c r="R1" s="43"/>
      <c r="S1" s="43"/>
      <c r="T1" s="43"/>
      <c r="U1" s="44"/>
      <c r="V1" s="44"/>
      <c r="W1" s="45"/>
    </row>
    <row r="2" ht="14.25" customHeight="1" spans="1:23">
      <c r="A2" s="8" t="s">
        <v>1</v>
      </c>
      <c r="B2" s="8"/>
      <c r="C2" s="9" t="s">
        <v>2</v>
      </c>
      <c r="D2" s="9"/>
      <c r="E2" s="9"/>
      <c r="F2" s="9"/>
      <c r="G2" s="9"/>
      <c r="H2" s="9"/>
      <c r="J2" s="35" t="s">
        <v>3</v>
      </c>
      <c r="K2" s="35"/>
      <c r="L2" s="35"/>
      <c r="M2" s="35"/>
      <c r="N2" s="35"/>
      <c r="O2" s="36" t="s">
        <v>4</v>
      </c>
      <c r="Q2" s="46" t="s">
        <v>5</v>
      </c>
      <c r="R2" s="46"/>
      <c r="S2" s="46" t="s">
        <v>6</v>
      </c>
      <c r="T2" s="46"/>
      <c r="U2" s="47" t="s">
        <v>7</v>
      </c>
      <c r="V2" s="47"/>
      <c r="W2" s="47"/>
    </row>
    <row r="3" spans="1:23">
      <c r="A3" s="8"/>
      <c r="B3" s="10" t="s">
        <v>8</v>
      </c>
      <c r="C3" s="9" t="s">
        <v>9</v>
      </c>
      <c r="D3" s="9" t="s">
        <v>10</v>
      </c>
      <c r="E3" s="9" t="s">
        <v>11</v>
      </c>
      <c r="F3" s="11" t="s">
        <v>12</v>
      </c>
      <c r="G3" s="9" t="s">
        <v>13</v>
      </c>
      <c r="H3" s="9"/>
      <c r="J3" s="35"/>
      <c r="K3" s="35"/>
      <c r="L3" s="35"/>
      <c r="M3" s="35"/>
      <c r="N3" s="35"/>
      <c r="O3" s="37"/>
      <c r="Q3" s="46"/>
      <c r="R3" s="46"/>
      <c r="S3" s="46"/>
      <c r="T3" s="46"/>
      <c r="U3" s="47"/>
      <c r="V3" s="47"/>
      <c r="W3" s="47"/>
    </row>
    <row r="4" spans="1:23">
      <c r="A4" s="8"/>
      <c r="B4" s="10"/>
      <c r="C4" s="9"/>
      <c r="D4" s="9"/>
      <c r="E4" s="9"/>
      <c r="F4" s="11"/>
      <c r="G4" s="9" t="s">
        <v>14</v>
      </c>
      <c r="H4" s="10" t="s">
        <v>15</v>
      </c>
      <c r="J4" s="38" t="s">
        <v>8</v>
      </c>
      <c r="K4" s="38" t="s">
        <v>16</v>
      </c>
      <c r="L4" s="38" t="s">
        <v>15</v>
      </c>
      <c r="M4" s="38" t="s">
        <v>17</v>
      </c>
      <c r="N4" s="38" t="s">
        <v>18</v>
      </c>
      <c r="O4" s="39"/>
      <c r="Q4" s="46" t="s">
        <v>89</v>
      </c>
      <c r="R4" s="46" t="s">
        <v>20</v>
      </c>
      <c r="S4" s="46" t="s">
        <v>21</v>
      </c>
      <c r="T4" s="46" t="s">
        <v>20</v>
      </c>
      <c r="U4" s="46" t="s">
        <v>21</v>
      </c>
      <c r="V4" s="46" t="s">
        <v>20</v>
      </c>
      <c r="W4" s="47" t="s">
        <v>22</v>
      </c>
    </row>
    <row r="5" ht="30" customHeight="1" spans="1:23">
      <c r="A5" s="12" t="s">
        <v>23</v>
      </c>
      <c r="B5" s="13"/>
      <c r="C5" s="14"/>
      <c r="D5" s="15">
        <f t="shared" ref="D5:H5" si="0">SUM(D6:D16)</f>
        <v>22</v>
      </c>
      <c r="E5" s="16">
        <f t="shared" si="0"/>
        <v>3717.9</v>
      </c>
      <c r="F5" s="14"/>
      <c r="G5" s="28"/>
      <c r="H5" s="63">
        <f t="shared" si="0"/>
        <v>185.9</v>
      </c>
      <c r="J5" s="14"/>
      <c r="K5" s="14"/>
      <c r="L5" s="16">
        <f>SUM(L6:L16)</f>
        <v>1456.3</v>
      </c>
      <c r="M5" s="14"/>
      <c r="N5" s="14"/>
      <c r="O5" s="16">
        <f>E5-H5-L5</f>
        <v>2075.7</v>
      </c>
      <c r="Q5" s="48"/>
      <c r="R5" s="48">
        <f>SUM(R6:R11)</f>
        <v>185.9</v>
      </c>
      <c r="S5" s="48"/>
      <c r="T5" s="49">
        <f>SUM(T6:T11)</f>
        <v>1456.3</v>
      </c>
      <c r="U5" s="48"/>
      <c r="V5" s="48"/>
      <c r="W5" s="50"/>
    </row>
    <row r="6" spans="1:23">
      <c r="A6" s="19">
        <v>1</v>
      </c>
      <c r="B6" s="20">
        <v>43420</v>
      </c>
      <c r="C6" s="21" t="s">
        <v>218</v>
      </c>
      <c r="D6" s="22">
        <v>3</v>
      </c>
      <c r="E6" s="23">
        <v>537.3</v>
      </c>
      <c r="F6" s="53" t="s">
        <v>24</v>
      </c>
      <c r="G6" s="19" t="s">
        <v>39</v>
      </c>
      <c r="H6" s="25">
        <f t="shared" ref="H6:H10" si="1">ROUND(E6*0.05,1)</f>
        <v>26.9</v>
      </c>
      <c r="J6" s="40">
        <v>43110</v>
      </c>
      <c r="K6" s="19" t="s">
        <v>26</v>
      </c>
      <c r="L6" s="23">
        <v>70</v>
      </c>
      <c r="M6" s="19" t="s">
        <v>25</v>
      </c>
      <c r="N6" s="41">
        <v>1.11</v>
      </c>
      <c r="O6" s="23"/>
      <c r="Q6" s="48" t="s">
        <v>27</v>
      </c>
      <c r="R6" s="48">
        <f>SUMIF(G6:G16,Q6,H6:H16)</f>
        <v>0</v>
      </c>
      <c r="S6" s="48" t="s">
        <v>26</v>
      </c>
      <c r="T6" s="48">
        <f>SUMIF(K6:K16,S6,L6:L16)</f>
        <v>280</v>
      </c>
      <c r="U6" s="48" t="s">
        <v>28</v>
      </c>
      <c r="V6" s="48">
        <f>O5</f>
        <v>2075.7</v>
      </c>
      <c r="W6" s="50"/>
    </row>
    <row r="7" spans="1:23">
      <c r="A7" s="19">
        <v>2</v>
      </c>
      <c r="B7" s="20">
        <v>43101</v>
      </c>
      <c r="C7" s="21" t="s">
        <v>219</v>
      </c>
      <c r="D7" s="22">
        <v>3</v>
      </c>
      <c r="E7" s="23">
        <v>499.5</v>
      </c>
      <c r="F7" s="24" t="s">
        <v>24</v>
      </c>
      <c r="G7" s="19" t="s">
        <v>25</v>
      </c>
      <c r="H7" s="25">
        <f t="shared" si="1"/>
        <v>25</v>
      </c>
      <c r="J7" s="20">
        <v>43113</v>
      </c>
      <c r="K7" s="19" t="s">
        <v>26</v>
      </c>
      <c r="L7" s="23">
        <v>70</v>
      </c>
      <c r="M7" s="19" t="s">
        <v>25</v>
      </c>
      <c r="N7" s="41">
        <v>1.15</v>
      </c>
      <c r="O7" s="23"/>
      <c r="Q7" s="48" t="s">
        <v>25</v>
      </c>
      <c r="R7" s="48">
        <f>SUMIF(G6:G16,Q7,H6:H16)</f>
        <v>159</v>
      </c>
      <c r="S7" s="48" t="s">
        <v>29</v>
      </c>
      <c r="T7" s="48">
        <f>SUMIF(K6:K16,S7,L6:L16)</f>
        <v>548.3</v>
      </c>
      <c r="U7" s="48" t="s">
        <v>32</v>
      </c>
      <c r="V7" s="49">
        <f>ROUND(V6*W7,1)</f>
        <v>1660.6</v>
      </c>
      <c r="W7" s="51">
        <v>0.8</v>
      </c>
    </row>
    <row r="8" spans="1:23">
      <c r="A8" s="19">
        <v>3</v>
      </c>
      <c r="B8" s="20">
        <v>43101</v>
      </c>
      <c r="C8" s="21">
        <v>1.16</v>
      </c>
      <c r="D8" s="22">
        <v>1</v>
      </c>
      <c r="E8" s="23">
        <v>166.5</v>
      </c>
      <c r="F8" s="24" t="s">
        <v>24</v>
      </c>
      <c r="G8" s="19" t="s">
        <v>25</v>
      </c>
      <c r="H8" s="25">
        <f t="shared" si="1"/>
        <v>8.3</v>
      </c>
      <c r="J8" s="20">
        <v>43114</v>
      </c>
      <c r="K8" s="19" t="s">
        <v>40</v>
      </c>
      <c r="L8" s="23">
        <v>628</v>
      </c>
      <c r="M8" s="19" t="s">
        <v>32</v>
      </c>
      <c r="N8" s="41" t="s">
        <v>220</v>
      </c>
      <c r="O8" s="23"/>
      <c r="Q8" s="48" t="s">
        <v>32</v>
      </c>
      <c r="R8" s="48">
        <f>SUMIF(G6:G16,Q8,H6:H16)</f>
        <v>0</v>
      </c>
      <c r="S8" s="48" t="s">
        <v>33</v>
      </c>
      <c r="T8" s="48">
        <f>SUMIF(K6:K16,S8,L6:L16)</f>
        <v>0</v>
      </c>
      <c r="U8" s="48" t="s">
        <v>117</v>
      </c>
      <c r="V8" s="49">
        <f>ROUND(V6*W8,1)</f>
        <v>415.1</v>
      </c>
      <c r="W8" s="51">
        <v>0.2</v>
      </c>
    </row>
    <row r="9" spans="1:23">
      <c r="A9" s="19">
        <v>4</v>
      </c>
      <c r="B9" s="20">
        <v>43114</v>
      </c>
      <c r="C9" s="21" t="s">
        <v>221</v>
      </c>
      <c r="D9" s="22">
        <v>6</v>
      </c>
      <c r="E9" s="23">
        <v>1074.6</v>
      </c>
      <c r="F9" s="24" t="s">
        <v>46</v>
      </c>
      <c r="G9" s="19" t="s">
        <v>25</v>
      </c>
      <c r="H9" s="25">
        <f t="shared" si="1"/>
        <v>53.7</v>
      </c>
      <c r="J9" s="20">
        <v>43115</v>
      </c>
      <c r="K9" s="19" t="s">
        <v>29</v>
      </c>
      <c r="L9" s="23">
        <v>48.3</v>
      </c>
      <c r="M9" s="19" t="s">
        <v>32</v>
      </c>
      <c r="N9" s="41" t="s">
        <v>209</v>
      </c>
      <c r="O9" s="23"/>
      <c r="Q9" s="48" t="s">
        <v>35</v>
      </c>
      <c r="R9" s="48">
        <f>SUMIF($G$6:$G$16,Q9,$H$6:$H$16)</f>
        <v>0</v>
      </c>
      <c r="S9" s="48" t="s">
        <v>36</v>
      </c>
      <c r="T9" s="48">
        <f>SUMIF($K$6:$K$16,S9,$L$6:$L$16)</f>
        <v>0</v>
      </c>
      <c r="U9" s="48"/>
      <c r="V9" s="52"/>
      <c r="W9" s="51"/>
    </row>
    <row r="10" spans="1:23">
      <c r="A10" s="19">
        <v>5</v>
      </c>
      <c r="B10" s="20">
        <v>43123</v>
      </c>
      <c r="C10" s="21" t="s">
        <v>222</v>
      </c>
      <c r="D10" s="22">
        <v>9</v>
      </c>
      <c r="E10" s="23">
        <f>ROUND(3680/23*9,1)</f>
        <v>1440</v>
      </c>
      <c r="F10" s="24" t="s">
        <v>37</v>
      </c>
      <c r="G10" s="19" t="s">
        <v>25</v>
      </c>
      <c r="H10" s="25">
        <f t="shared" si="1"/>
        <v>72</v>
      </c>
      <c r="J10" s="20">
        <v>43116</v>
      </c>
      <c r="K10" s="19" t="s">
        <v>26</v>
      </c>
      <c r="L10" s="23">
        <v>70</v>
      </c>
      <c r="M10" s="19" t="s">
        <v>25</v>
      </c>
      <c r="N10" s="41">
        <v>1.17</v>
      </c>
      <c r="O10" s="23"/>
      <c r="Q10" s="48" t="s">
        <v>30</v>
      </c>
      <c r="R10" s="48">
        <f>SUMIF(G6:G16,Q10,H6:H16)</f>
        <v>0</v>
      </c>
      <c r="S10" s="48" t="s">
        <v>38</v>
      </c>
      <c r="T10" s="48">
        <f>SUMIF(K6:K16,S10,L6:L16)</f>
        <v>0</v>
      </c>
      <c r="U10" s="48"/>
      <c r="V10" s="52"/>
      <c r="W10" s="51"/>
    </row>
    <row r="11" spans="1:23">
      <c r="A11" s="19">
        <v>6</v>
      </c>
      <c r="B11" s="20"/>
      <c r="C11" s="21"/>
      <c r="D11" s="22"/>
      <c r="E11" s="23"/>
      <c r="F11" s="24"/>
      <c r="G11" s="19"/>
      <c r="H11" s="25"/>
      <c r="J11" s="20">
        <v>43126</v>
      </c>
      <c r="K11" s="19" t="s">
        <v>29</v>
      </c>
      <c r="L11" s="23">
        <v>500</v>
      </c>
      <c r="M11" s="19" t="s">
        <v>32</v>
      </c>
      <c r="N11" s="41" t="s">
        <v>96</v>
      </c>
      <c r="O11" s="23"/>
      <c r="Q11" s="48" t="s">
        <v>39</v>
      </c>
      <c r="R11" s="48">
        <f>SUMIF(G6:G16,Q11,H6:H16)</f>
        <v>26.9</v>
      </c>
      <c r="S11" s="48" t="s">
        <v>40</v>
      </c>
      <c r="T11" s="48">
        <f>SUMIF(K6:K16,S11,L6:L16)</f>
        <v>628</v>
      </c>
      <c r="U11" s="48"/>
      <c r="V11" s="48"/>
      <c r="W11" s="50"/>
    </row>
    <row r="12" spans="1:15">
      <c r="A12" s="19">
        <v>7</v>
      </c>
      <c r="B12" s="20"/>
      <c r="C12" s="21"/>
      <c r="D12" s="22"/>
      <c r="E12" s="23"/>
      <c r="F12" s="24"/>
      <c r="G12" s="19"/>
      <c r="H12" s="25"/>
      <c r="J12" s="20">
        <v>43127</v>
      </c>
      <c r="K12" s="19" t="s">
        <v>26</v>
      </c>
      <c r="L12" s="23">
        <v>70</v>
      </c>
      <c r="M12" s="19" t="s">
        <v>32</v>
      </c>
      <c r="N12" s="41">
        <v>1.31</v>
      </c>
      <c r="O12" s="23"/>
    </row>
    <row r="13" spans="1:15">
      <c r="A13" s="19">
        <v>8</v>
      </c>
      <c r="B13" s="20"/>
      <c r="C13" s="21"/>
      <c r="D13" s="22"/>
      <c r="E13" s="23"/>
      <c r="F13" s="24"/>
      <c r="G13" s="19"/>
      <c r="H13" s="25"/>
      <c r="J13" s="20"/>
      <c r="K13" s="19"/>
      <c r="L13" s="23"/>
      <c r="M13" s="20"/>
      <c r="N13" s="19"/>
      <c r="O13" s="23"/>
    </row>
    <row r="14" spans="1:15">
      <c r="A14" s="19">
        <v>9</v>
      </c>
      <c r="B14" s="20"/>
      <c r="C14" s="21"/>
      <c r="D14" s="22"/>
      <c r="E14" s="22"/>
      <c r="F14" s="24"/>
      <c r="G14" s="19"/>
      <c r="H14" s="22"/>
      <c r="J14" s="20"/>
      <c r="K14" s="19"/>
      <c r="L14" s="23"/>
      <c r="M14" s="20"/>
      <c r="N14" s="19"/>
      <c r="O14" s="23"/>
    </row>
    <row r="15" spans="1:15">
      <c r="A15" s="19">
        <v>10</v>
      </c>
      <c r="B15" s="20"/>
      <c r="C15" s="21"/>
      <c r="D15" s="22"/>
      <c r="E15" s="23"/>
      <c r="F15" s="24"/>
      <c r="G15" s="19"/>
      <c r="H15" s="19"/>
      <c r="J15" s="20"/>
      <c r="K15" s="19"/>
      <c r="L15" s="23"/>
      <c r="M15" s="20"/>
      <c r="N15" s="19"/>
      <c r="O15" s="23"/>
    </row>
    <row r="16" spans="1:15">
      <c r="A16" s="19">
        <v>11</v>
      </c>
      <c r="B16" s="20"/>
      <c r="C16" s="21"/>
      <c r="D16" s="22"/>
      <c r="E16" s="23"/>
      <c r="F16" s="24"/>
      <c r="G16" s="19"/>
      <c r="H16" s="19"/>
      <c r="J16" s="20"/>
      <c r="K16" s="19"/>
      <c r="L16" s="23"/>
      <c r="M16" s="20"/>
      <c r="N16" s="19"/>
      <c r="O16" s="23"/>
    </row>
    <row r="17" ht="30" customHeight="1" spans="1:23">
      <c r="A17" s="12" t="s">
        <v>49</v>
      </c>
      <c r="B17" s="13"/>
      <c r="C17" s="14"/>
      <c r="D17" s="15">
        <f t="shared" ref="D17:H17" si="2">SUM(D18:D28)</f>
        <v>24</v>
      </c>
      <c r="E17" s="16">
        <f t="shared" si="2"/>
        <v>5706.8</v>
      </c>
      <c r="F17" s="14"/>
      <c r="G17" s="14"/>
      <c r="H17" s="16">
        <f t="shared" si="2"/>
        <v>285.4</v>
      </c>
      <c r="J17" s="14"/>
      <c r="K17" s="14"/>
      <c r="L17" s="16">
        <f>SUM(L18:L28)</f>
        <v>817.9</v>
      </c>
      <c r="M17" s="14"/>
      <c r="N17" s="14"/>
      <c r="O17" s="16">
        <f>E17-H17-L17</f>
        <v>4603.5</v>
      </c>
      <c r="Q17" s="48"/>
      <c r="R17" s="48">
        <f>SUM(R18:R23)</f>
        <v>285.4</v>
      </c>
      <c r="S17" s="48"/>
      <c r="T17" s="49">
        <f>SUM(T18:T23)</f>
        <v>817.9</v>
      </c>
      <c r="U17" s="48"/>
      <c r="V17" s="48"/>
      <c r="W17" s="50"/>
    </row>
    <row r="18" spans="1:23">
      <c r="A18" s="19">
        <v>1</v>
      </c>
      <c r="B18" s="20">
        <v>43123</v>
      </c>
      <c r="C18" s="21" t="s">
        <v>223</v>
      </c>
      <c r="D18" s="22">
        <v>14</v>
      </c>
      <c r="E18" s="23">
        <f>ROUND(3680/23*14,1)</f>
        <v>2240</v>
      </c>
      <c r="F18" s="24" t="s">
        <v>37</v>
      </c>
      <c r="G18" s="19" t="s">
        <v>25</v>
      </c>
      <c r="H18" s="25">
        <f t="shared" ref="H18:H22" si="3">ROUND(E18*0.05,1)</f>
        <v>112</v>
      </c>
      <c r="J18" s="40">
        <v>43146</v>
      </c>
      <c r="K18" s="19" t="s">
        <v>33</v>
      </c>
      <c r="L18" s="23">
        <v>27</v>
      </c>
      <c r="M18" s="19" t="s">
        <v>25</v>
      </c>
      <c r="N18" s="41" t="s">
        <v>224</v>
      </c>
      <c r="O18" s="23"/>
      <c r="Q18" s="48" t="s">
        <v>27</v>
      </c>
      <c r="R18" s="48">
        <f>SUMIF(G18:G28,Q18,H18:H28)</f>
        <v>0</v>
      </c>
      <c r="S18" s="48" t="s">
        <v>26</v>
      </c>
      <c r="T18" s="48">
        <f>SUMIF(K18:K28,S18,L18:L28)</f>
        <v>525</v>
      </c>
      <c r="U18" s="48" t="s">
        <v>28</v>
      </c>
      <c r="V18" s="48">
        <f>O17</f>
        <v>4603.5</v>
      </c>
      <c r="W18" s="50"/>
    </row>
    <row r="19" spans="1:23">
      <c r="A19" s="19">
        <v>2</v>
      </c>
      <c r="B19" s="20">
        <v>43135</v>
      </c>
      <c r="C19" s="21" t="s">
        <v>225</v>
      </c>
      <c r="D19" s="22">
        <v>4</v>
      </c>
      <c r="E19" s="23">
        <v>1796.4</v>
      </c>
      <c r="F19" s="24" t="s">
        <v>24</v>
      </c>
      <c r="G19" s="19" t="s">
        <v>25</v>
      </c>
      <c r="H19" s="25">
        <f t="shared" si="3"/>
        <v>89.8</v>
      </c>
      <c r="J19" s="20">
        <v>43146</v>
      </c>
      <c r="K19" s="19" t="s">
        <v>26</v>
      </c>
      <c r="L19" s="23">
        <v>140</v>
      </c>
      <c r="M19" s="19" t="s">
        <v>25</v>
      </c>
      <c r="N19" s="41">
        <v>2.15</v>
      </c>
      <c r="O19" s="23"/>
      <c r="Q19" s="48" t="s">
        <v>25</v>
      </c>
      <c r="R19" s="48">
        <f>SUMIF(G18:G28,Q19,H18:H28)</f>
        <v>285.4</v>
      </c>
      <c r="S19" s="48" t="s">
        <v>29</v>
      </c>
      <c r="T19" s="48">
        <f>SUMIF(K18:K28,S19,L18:L28)</f>
        <v>199</v>
      </c>
      <c r="U19" s="48" t="s">
        <v>32</v>
      </c>
      <c r="V19" s="49">
        <f>ROUND(V18*W19,1)</f>
        <v>3682.8</v>
      </c>
      <c r="W19" s="51">
        <v>0.8</v>
      </c>
    </row>
    <row r="20" spans="1:23">
      <c r="A20" s="19">
        <v>3</v>
      </c>
      <c r="B20" s="20">
        <v>43148</v>
      </c>
      <c r="C20" s="21">
        <v>2.19</v>
      </c>
      <c r="D20" s="22">
        <v>1</v>
      </c>
      <c r="E20" s="23">
        <v>449.1</v>
      </c>
      <c r="F20" s="24" t="s">
        <v>24</v>
      </c>
      <c r="G20" s="19" t="s">
        <v>25</v>
      </c>
      <c r="H20" s="25">
        <f t="shared" si="3"/>
        <v>22.5</v>
      </c>
      <c r="J20" s="20">
        <v>43150</v>
      </c>
      <c r="K20" s="19" t="s">
        <v>36</v>
      </c>
      <c r="L20" s="23">
        <v>60</v>
      </c>
      <c r="M20" s="19" t="s">
        <v>30</v>
      </c>
      <c r="N20" s="41" t="s">
        <v>226</v>
      </c>
      <c r="O20" s="23"/>
      <c r="Q20" s="48" t="s">
        <v>32</v>
      </c>
      <c r="R20" s="48">
        <f>SUMIF(G18:G28,Q20,H18:H28)</f>
        <v>0</v>
      </c>
      <c r="S20" s="48" t="s">
        <v>33</v>
      </c>
      <c r="T20" s="48">
        <f>SUMIF(K18:K28,S20,L18:L28)</f>
        <v>33.9</v>
      </c>
      <c r="U20" s="48" t="s">
        <v>117</v>
      </c>
      <c r="V20" s="49">
        <f>ROUND(V18*W20,1)</f>
        <v>920.7</v>
      </c>
      <c r="W20" s="51">
        <v>0.2</v>
      </c>
    </row>
    <row r="21" spans="1:23">
      <c r="A21" s="19">
        <v>4</v>
      </c>
      <c r="B21" s="20">
        <v>43111</v>
      </c>
      <c r="C21" s="21" t="s">
        <v>227</v>
      </c>
      <c r="D21" s="22">
        <v>5</v>
      </c>
      <c r="E21" s="23">
        <v>1221.3</v>
      </c>
      <c r="F21" s="24" t="s">
        <v>24</v>
      </c>
      <c r="G21" s="19" t="s">
        <v>25</v>
      </c>
      <c r="H21" s="25">
        <f t="shared" si="3"/>
        <v>61.1</v>
      </c>
      <c r="J21" s="20">
        <v>43150</v>
      </c>
      <c r="K21" s="19" t="s">
        <v>33</v>
      </c>
      <c r="L21" s="23">
        <v>6.9</v>
      </c>
      <c r="M21" s="19" t="s">
        <v>25</v>
      </c>
      <c r="N21" s="41" t="s">
        <v>95</v>
      </c>
      <c r="O21" s="23"/>
      <c r="Q21" s="48" t="s">
        <v>35</v>
      </c>
      <c r="R21" s="48">
        <f>SUMIF($G$6:$G$16,Q21,$H$6:$H$16)</f>
        <v>0</v>
      </c>
      <c r="S21" s="48" t="s">
        <v>36</v>
      </c>
      <c r="T21" s="48">
        <f>SUMIF(K18:K28,S21,L18:L28)</f>
        <v>60</v>
      </c>
      <c r="U21" s="48"/>
      <c r="V21" s="52"/>
      <c r="W21" s="51"/>
    </row>
    <row r="22" spans="1:23">
      <c r="A22" s="19">
        <v>5</v>
      </c>
      <c r="B22" s="20"/>
      <c r="C22" s="21"/>
      <c r="D22" s="22"/>
      <c r="E22" s="23"/>
      <c r="F22" s="24"/>
      <c r="G22" s="19"/>
      <c r="H22" s="25"/>
      <c r="J22" s="20">
        <v>43150</v>
      </c>
      <c r="K22" s="19" t="s">
        <v>26</v>
      </c>
      <c r="L22" s="23">
        <v>140</v>
      </c>
      <c r="M22" s="19" t="s">
        <v>25</v>
      </c>
      <c r="N22" s="19"/>
      <c r="O22" s="23"/>
      <c r="Q22" s="48" t="s">
        <v>30</v>
      </c>
      <c r="R22" s="48">
        <f>SUMIF(G18:G28,Q22,H18:H28)</f>
        <v>0</v>
      </c>
      <c r="S22" s="48" t="s">
        <v>38</v>
      </c>
      <c r="T22" s="48"/>
      <c r="U22" s="48"/>
      <c r="V22" s="52"/>
      <c r="W22" s="51"/>
    </row>
    <row r="23" spans="1:23">
      <c r="A23" s="19">
        <v>6</v>
      </c>
      <c r="B23" s="20"/>
      <c r="C23" s="21"/>
      <c r="D23" s="22"/>
      <c r="E23" s="23"/>
      <c r="F23" s="24"/>
      <c r="G23" s="19"/>
      <c r="H23" s="25"/>
      <c r="J23" s="20">
        <v>43151</v>
      </c>
      <c r="K23" s="19" t="s">
        <v>26</v>
      </c>
      <c r="L23" s="23">
        <v>140</v>
      </c>
      <c r="M23" s="19" t="s">
        <v>25</v>
      </c>
      <c r="N23" s="19"/>
      <c r="O23" s="23"/>
      <c r="Q23" s="48" t="s">
        <v>39</v>
      </c>
      <c r="R23" s="48">
        <f>SUMIF(G18:G28,Q23,H18:H28)</f>
        <v>0</v>
      </c>
      <c r="S23" s="48" t="s">
        <v>40</v>
      </c>
      <c r="T23" s="48"/>
      <c r="U23" s="48"/>
      <c r="V23" s="48"/>
      <c r="W23" s="50"/>
    </row>
    <row r="24" spans="1:15">
      <c r="A24" s="19">
        <v>7</v>
      </c>
      <c r="B24" s="20"/>
      <c r="C24" s="21"/>
      <c r="D24" s="22"/>
      <c r="E24" s="23"/>
      <c r="F24" s="24"/>
      <c r="G24" s="19"/>
      <c r="H24" s="19"/>
      <c r="J24" s="20">
        <v>43153</v>
      </c>
      <c r="K24" s="19" t="s">
        <v>29</v>
      </c>
      <c r="L24" s="23">
        <v>199</v>
      </c>
      <c r="M24" s="19" t="s">
        <v>32</v>
      </c>
      <c r="N24" s="41" t="s">
        <v>228</v>
      </c>
      <c r="O24" s="23"/>
    </row>
    <row r="25" spans="1:15">
      <c r="A25" s="19">
        <v>8</v>
      </c>
      <c r="B25" s="20"/>
      <c r="C25" s="21"/>
      <c r="D25" s="22"/>
      <c r="E25" s="23"/>
      <c r="F25" s="24"/>
      <c r="G25" s="19"/>
      <c r="H25" s="19"/>
      <c r="J25" s="20">
        <v>43156</v>
      </c>
      <c r="K25" s="19" t="s">
        <v>26</v>
      </c>
      <c r="L25" s="23">
        <f>70*1.5</f>
        <v>105</v>
      </c>
      <c r="M25" s="19" t="s">
        <v>32</v>
      </c>
      <c r="N25" s="41" t="s">
        <v>56</v>
      </c>
      <c r="O25" s="23"/>
    </row>
    <row r="26" spans="1:15">
      <c r="A26" s="19">
        <v>9</v>
      </c>
      <c r="B26" s="20"/>
      <c r="C26" s="21"/>
      <c r="D26" s="22"/>
      <c r="E26" s="23"/>
      <c r="F26" s="24"/>
      <c r="G26" s="19"/>
      <c r="H26" s="25"/>
      <c r="J26" s="20"/>
      <c r="K26" s="19"/>
      <c r="L26" s="23"/>
      <c r="M26" s="20"/>
      <c r="N26" s="19"/>
      <c r="O26" s="23"/>
    </row>
    <row r="27" spans="1:15">
      <c r="A27" s="19">
        <v>10</v>
      </c>
      <c r="B27" s="20"/>
      <c r="C27" s="21"/>
      <c r="D27" s="22"/>
      <c r="E27" s="23"/>
      <c r="F27" s="24"/>
      <c r="G27" s="19"/>
      <c r="H27" s="19"/>
      <c r="J27" s="20"/>
      <c r="K27" s="19"/>
      <c r="L27" s="23"/>
      <c r="M27" s="20"/>
      <c r="N27" s="19"/>
      <c r="O27" s="23"/>
    </row>
    <row r="28" spans="1:15">
      <c r="A28" s="19">
        <v>11</v>
      </c>
      <c r="B28" s="20"/>
      <c r="C28" s="21"/>
      <c r="D28" s="22"/>
      <c r="E28" s="23"/>
      <c r="F28" s="24"/>
      <c r="G28" s="19"/>
      <c r="H28" s="19"/>
      <c r="J28" s="20"/>
      <c r="K28" s="19"/>
      <c r="L28" s="23"/>
      <c r="M28" s="20"/>
      <c r="N28" s="19"/>
      <c r="O28" s="23"/>
    </row>
    <row r="29" ht="30" customHeight="1" spans="1:23">
      <c r="A29" s="12" t="s">
        <v>60</v>
      </c>
      <c r="B29" s="13"/>
      <c r="C29" s="14"/>
      <c r="D29" s="15">
        <f t="shared" ref="D29:H29" si="4">SUM(D30:D40)</f>
        <v>29</v>
      </c>
      <c r="E29" s="16">
        <f t="shared" si="4"/>
        <v>5428.8</v>
      </c>
      <c r="F29" s="14"/>
      <c r="G29" s="14"/>
      <c r="H29" s="16">
        <f t="shared" si="4"/>
        <v>269.1</v>
      </c>
      <c r="J29" s="14"/>
      <c r="K29" s="14"/>
      <c r="L29" s="16">
        <f>SUM(L30:L40)</f>
        <v>440</v>
      </c>
      <c r="M29" s="14"/>
      <c r="N29" s="14"/>
      <c r="O29" s="16">
        <f>E29-H29-L29</f>
        <v>4719.7</v>
      </c>
      <c r="Q29" s="48"/>
      <c r="R29" s="48">
        <f>SUM(R30:R35)</f>
        <v>269.1</v>
      </c>
      <c r="S29" s="48"/>
      <c r="T29" s="49">
        <f>SUM(T30:T35)</f>
        <v>440</v>
      </c>
      <c r="U29" s="48"/>
      <c r="V29" s="48"/>
      <c r="W29" s="50"/>
    </row>
    <row r="30" spans="1:23">
      <c r="A30" s="19">
        <v>1</v>
      </c>
      <c r="B30" s="20">
        <v>43153</v>
      </c>
      <c r="C30" s="21" t="s">
        <v>229</v>
      </c>
      <c r="D30" s="22">
        <v>3</v>
      </c>
      <c r="E30" s="23">
        <v>699.3</v>
      </c>
      <c r="F30" s="24" t="s">
        <v>24</v>
      </c>
      <c r="G30" s="19" t="s">
        <v>25</v>
      </c>
      <c r="H30" s="25">
        <f t="shared" ref="H30:H33" si="5">ROUND(E30*0.05,1)</f>
        <v>35</v>
      </c>
      <c r="J30" s="40">
        <v>43163</v>
      </c>
      <c r="K30" s="19" t="s">
        <v>36</v>
      </c>
      <c r="L30" s="23">
        <v>80</v>
      </c>
      <c r="M30" s="40" t="s">
        <v>30</v>
      </c>
      <c r="N30" s="19" t="s">
        <v>194</v>
      </c>
      <c r="O30" s="23"/>
      <c r="Q30" s="48" t="s">
        <v>27</v>
      </c>
      <c r="R30" s="48">
        <f>SUMIF(G30:G40,Q30,H30:H40)</f>
        <v>0</v>
      </c>
      <c r="S30" s="48" t="s">
        <v>26</v>
      </c>
      <c r="T30" s="48">
        <f>SUMIF(K30:K40,S30,L30:L40)</f>
        <v>280</v>
      </c>
      <c r="U30" s="48" t="s">
        <v>28</v>
      </c>
      <c r="V30" s="48">
        <f>O29</f>
        <v>4719.7</v>
      </c>
      <c r="W30" s="50"/>
    </row>
    <row r="31" spans="1:23">
      <c r="A31" s="19">
        <v>2</v>
      </c>
      <c r="B31" s="20">
        <v>43161</v>
      </c>
      <c r="C31" s="21" t="s">
        <v>230</v>
      </c>
      <c r="D31" s="22">
        <v>3</v>
      </c>
      <c r="E31" s="23">
        <v>537.3</v>
      </c>
      <c r="F31" s="24" t="s">
        <v>24</v>
      </c>
      <c r="G31" s="19" t="s">
        <v>25</v>
      </c>
      <c r="H31" s="25">
        <f t="shared" si="5"/>
        <v>26.9</v>
      </c>
      <c r="J31" s="20">
        <v>43163</v>
      </c>
      <c r="K31" s="19" t="s">
        <v>26</v>
      </c>
      <c r="L31" s="23">
        <v>70</v>
      </c>
      <c r="M31" s="20" t="s">
        <v>32</v>
      </c>
      <c r="N31" s="19" t="s">
        <v>56</v>
      </c>
      <c r="O31" s="23"/>
      <c r="Q31" s="48" t="s">
        <v>25</v>
      </c>
      <c r="R31" s="48">
        <f>SUMIF(G30:G40,Q31,H30:H40)</f>
        <v>260</v>
      </c>
      <c r="S31" s="48" t="s">
        <v>29</v>
      </c>
      <c r="T31" s="48">
        <f>SUMIF(K30:K40,S31,L30:L40)</f>
        <v>0</v>
      </c>
      <c r="U31" s="48" t="s">
        <v>32</v>
      </c>
      <c r="V31" s="49">
        <f>ROUND(V30*W31,1)</f>
        <v>3775.8</v>
      </c>
      <c r="W31" s="51">
        <v>0.8</v>
      </c>
    </row>
    <row r="32" spans="1:23">
      <c r="A32" s="19">
        <v>3</v>
      </c>
      <c r="B32" s="20">
        <v>43163</v>
      </c>
      <c r="C32" s="21" t="s">
        <v>154</v>
      </c>
      <c r="D32" s="22"/>
      <c r="E32" s="23">
        <v>50</v>
      </c>
      <c r="F32" s="24"/>
      <c r="G32" s="19"/>
      <c r="H32" s="25"/>
      <c r="J32" s="20">
        <v>43164</v>
      </c>
      <c r="K32" s="19" t="s">
        <v>26</v>
      </c>
      <c r="L32" s="23">
        <v>70</v>
      </c>
      <c r="M32" s="20" t="s">
        <v>25</v>
      </c>
      <c r="N32" s="19">
        <v>3.7</v>
      </c>
      <c r="O32" s="23"/>
      <c r="Q32" s="48" t="s">
        <v>32</v>
      </c>
      <c r="R32" s="48">
        <f>SUMIF(G30:G40,Q32,H30:H40)</f>
        <v>9.1</v>
      </c>
      <c r="S32" s="48" t="s">
        <v>33</v>
      </c>
      <c r="T32" s="48">
        <f>SUMIF(K30:K40,S32,L30:L40)</f>
        <v>0</v>
      </c>
      <c r="U32" s="48" t="s">
        <v>117</v>
      </c>
      <c r="V32" s="49">
        <f>ROUND(V30*W32,1)</f>
        <v>943.9</v>
      </c>
      <c r="W32" s="51">
        <v>0.2</v>
      </c>
    </row>
    <row r="33" spans="1:23">
      <c r="A33" s="19">
        <v>4</v>
      </c>
      <c r="B33" s="20">
        <v>43168</v>
      </c>
      <c r="C33" s="21">
        <v>3.9</v>
      </c>
      <c r="D33" s="22">
        <v>1</v>
      </c>
      <c r="E33" s="23">
        <v>179.1</v>
      </c>
      <c r="F33" s="32" t="s">
        <v>24</v>
      </c>
      <c r="G33" s="19" t="s">
        <v>25</v>
      </c>
      <c r="H33" s="25">
        <f t="shared" si="5"/>
        <v>9</v>
      </c>
      <c r="J33" s="20">
        <v>43170</v>
      </c>
      <c r="K33" s="19" t="s">
        <v>26</v>
      </c>
      <c r="L33" s="23">
        <v>70</v>
      </c>
      <c r="M33" s="20" t="s">
        <v>32</v>
      </c>
      <c r="N33" s="19" t="s">
        <v>56</v>
      </c>
      <c r="O33" s="23"/>
      <c r="Q33" s="48" t="s">
        <v>35</v>
      </c>
      <c r="R33" s="48">
        <f>SUMIF($G$6:$G$16,Q33,$H$6:$H$16)</f>
        <v>0</v>
      </c>
      <c r="S33" s="48" t="s">
        <v>36</v>
      </c>
      <c r="T33" s="48">
        <f>SUMIF(K30:K40,S33,L30:L40)</f>
        <v>160</v>
      </c>
      <c r="U33" s="48"/>
      <c r="V33" s="52"/>
      <c r="W33" s="51"/>
    </row>
    <row r="34" spans="1:23">
      <c r="A34" s="19">
        <v>5</v>
      </c>
      <c r="B34" s="20">
        <v>43169</v>
      </c>
      <c r="C34" s="34">
        <v>3.1</v>
      </c>
      <c r="D34" s="22">
        <v>1</v>
      </c>
      <c r="E34" s="23">
        <v>179.1</v>
      </c>
      <c r="F34" s="32" t="s">
        <v>24</v>
      </c>
      <c r="G34" s="19" t="s">
        <v>25</v>
      </c>
      <c r="H34" s="25">
        <f t="shared" ref="H34:H40" si="6">ROUND(E34*0.05,1)</f>
        <v>9</v>
      </c>
      <c r="J34" s="20">
        <v>43174</v>
      </c>
      <c r="K34" s="19" t="s">
        <v>36</v>
      </c>
      <c r="L34" s="23">
        <v>80</v>
      </c>
      <c r="M34" s="20" t="s">
        <v>30</v>
      </c>
      <c r="N34" s="19" t="s">
        <v>231</v>
      </c>
      <c r="O34" s="23"/>
      <c r="Q34" s="48" t="s">
        <v>30</v>
      </c>
      <c r="R34" s="48">
        <f>SUMIF(G30:G40,Q34,H30:H40)</f>
        <v>0</v>
      </c>
      <c r="S34" s="48" t="s">
        <v>38</v>
      </c>
      <c r="T34" s="48"/>
      <c r="U34" s="48"/>
      <c r="V34" s="52"/>
      <c r="W34" s="51"/>
    </row>
    <row r="35" spans="1:23">
      <c r="A35" s="19">
        <v>6</v>
      </c>
      <c r="B35" s="20">
        <v>43170</v>
      </c>
      <c r="C35" s="21" t="s">
        <v>232</v>
      </c>
      <c r="D35" s="22">
        <v>15</v>
      </c>
      <c r="E35" s="23">
        <v>2682</v>
      </c>
      <c r="F35" s="24" t="s">
        <v>37</v>
      </c>
      <c r="G35" s="19" t="s">
        <v>25</v>
      </c>
      <c r="H35" s="25">
        <f t="shared" si="6"/>
        <v>134.1</v>
      </c>
      <c r="J35" s="20">
        <v>43187</v>
      </c>
      <c r="K35" s="19" t="s">
        <v>26</v>
      </c>
      <c r="L35" s="23">
        <v>70</v>
      </c>
      <c r="M35" s="20" t="s">
        <v>32</v>
      </c>
      <c r="N35" s="19" t="s">
        <v>56</v>
      </c>
      <c r="O35" s="23"/>
      <c r="Q35" s="48" t="s">
        <v>39</v>
      </c>
      <c r="R35" s="48">
        <f>SUMIF(G30:G40,Q35,H30:H40)</f>
        <v>0</v>
      </c>
      <c r="S35" s="48" t="s">
        <v>40</v>
      </c>
      <c r="T35" s="48"/>
      <c r="U35" s="48"/>
      <c r="V35" s="48"/>
      <c r="W35" s="50"/>
    </row>
    <row r="36" spans="1:15">
      <c r="A36" s="19">
        <v>7</v>
      </c>
      <c r="B36" s="20">
        <v>43185</v>
      </c>
      <c r="C36" s="21">
        <v>3.26</v>
      </c>
      <c r="D36" s="22">
        <v>1</v>
      </c>
      <c r="E36" s="23">
        <v>180</v>
      </c>
      <c r="F36" s="24" t="s">
        <v>37</v>
      </c>
      <c r="G36" s="19" t="s">
        <v>25</v>
      </c>
      <c r="H36" s="25">
        <f t="shared" si="6"/>
        <v>9</v>
      </c>
      <c r="J36" s="20"/>
      <c r="K36" s="19"/>
      <c r="L36" s="23"/>
      <c r="M36" s="20"/>
      <c r="N36" s="19"/>
      <c r="O36" s="23"/>
    </row>
    <row r="37" spans="1:15">
      <c r="A37" s="19">
        <v>8</v>
      </c>
      <c r="B37" s="20">
        <v>43185</v>
      </c>
      <c r="C37" s="21">
        <v>3.27</v>
      </c>
      <c r="D37" s="22">
        <v>1</v>
      </c>
      <c r="E37" s="23">
        <v>180</v>
      </c>
      <c r="F37" s="24" t="s">
        <v>37</v>
      </c>
      <c r="G37" s="19" t="s">
        <v>25</v>
      </c>
      <c r="H37" s="25">
        <f t="shared" si="6"/>
        <v>9</v>
      </c>
      <c r="J37" s="20"/>
      <c r="K37" s="19"/>
      <c r="L37" s="23"/>
      <c r="M37" s="20"/>
      <c r="N37" s="19"/>
      <c r="O37" s="23"/>
    </row>
    <row r="38" spans="1:15">
      <c r="A38" s="19">
        <v>9</v>
      </c>
      <c r="B38" s="20">
        <v>43185</v>
      </c>
      <c r="C38" s="21">
        <v>3.28</v>
      </c>
      <c r="D38" s="22">
        <v>1</v>
      </c>
      <c r="E38" s="23">
        <v>182</v>
      </c>
      <c r="F38" s="24" t="s">
        <v>43</v>
      </c>
      <c r="G38" s="19" t="s">
        <v>32</v>
      </c>
      <c r="H38" s="25">
        <f t="shared" si="6"/>
        <v>9.1</v>
      </c>
      <c r="J38" s="20"/>
      <c r="K38" s="19"/>
      <c r="L38" s="23"/>
      <c r="M38" s="20"/>
      <c r="N38" s="19"/>
      <c r="O38" s="23"/>
    </row>
    <row r="39" spans="1:15">
      <c r="A39" s="19">
        <v>10</v>
      </c>
      <c r="B39" s="20">
        <v>43187</v>
      </c>
      <c r="C39" s="21" t="s">
        <v>233</v>
      </c>
      <c r="D39" s="22">
        <v>2</v>
      </c>
      <c r="E39" s="23">
        <v>380</v>
      </c>
      <c r="F39" s="24" t="s">
        <v>37</v>
      </c>
      <c r="G39" s="19" t="s">
        <v>25</v>
      </c>
      <c r="H39" s="25">
        <f t="shared" si="6"/>
        <v>19</v>
      </c>
      <c r="J39" s="20"/>
      <c r="K39" s="19"/>
      <c r="L39" s="23"/>
      <c r="M39" s="20"/>
      <c r="N39" s="19"/>
      <c r="O39" s="23"/>
    </row>
    <row r="40" spans="1:15">
      <c r="A40" s="19">
        <v>11</v>
      </c>
      <c r="B40" s="20">
        <v>43189</v>
      </c>
      <c r="C40" s="34">
        <v>3.3</v>
      </c>
      <c r="D40" s="22">
        <v>1</v>
      </c>
      <c r="E40" s="23">
        <v>180</v>
      </c>
      <c r="F40" s="24" t="s">
        <v>37</v>
      </c>
      <c r="G40" s="19" t="s">
        <v>25</v>
      </c>
      <c r="H40" s="25">
        <f t="shared" si="6"/>
        <v>9</v>
      </c>
      <c r="J40" s="20"/>
      <c r="K40" s="19"/>
      <c r="L40" s="23"/>
      <c r="M40" s="20"/>
      <c r="N40" s="19"/>
      <c r="O40" s="23"/>
    </row>
    <row r="41" ht="30" customHeight="1" spans="1:15">
      <c r="A41" s="12" t="s">
        <v>70</v>
      </c>
      <c r="B41" s="13"/>
      <c r="C41" s="14"/>
      <c r="D41" s="15">
        <f t="shared" ref="D41:H41" si="7">SUM(D42:D52)</f>
        <v>20</v>
      </c>
      <c r="E41" s="16">
        <f t="shared" si="7"/>
        <v>3632.3</v>
      </c>
      <c r="F41" s="14"/>
      <c r="G41" s="14"/>
      <c r="H41" s="16">
        <f t="shared" si="7"/>
        <v>181.5</v>
      </c>
      <c r="J41" s="14"/>
      <c r="K41" s="14"/>
      <c r="L41" s="16">
        <f>SUM(L42:L52)</f>
        <v>0</v>
      </c>
      <c r="M41" s="14"/>
      <c r="N41" s="14"/>
      <c r="O41" s="16"/>
    </row>
    <row r="42" spans="1:15">
      <c r="A42" s="19">
        <v>1</v>
      </c>
      <c r="B42" s="20">
        <v>43187</v>
      </c>
      <c r="C42" s="21" t="s">
        <v>234</v>
      </c>
      <c r="D42" s="22">
        <v>7</v>
      </c>
      <c r="E42" s="23">
        <v>1002.9</v>
      </c>
      <c r="F42" s="24" t="s">
        <v>43</v>
      </c>
      <c r="G42" s="19" t="s">
        <v>32</v>
      </c>
      <c r="H42" s="25">
        <f t="shared" ref="H42:H49" si="8">ROUND(E42*0.05,1)</f>
        <v>50.1</v>
      </c>
      <c r="J42" s="40"/>
      <c r="K42" s="19"/>
      <c r="L42" s="23"/>
      <c r="M42" s="40"/>
      <c r="N42" s="19"/>
      <c r="O42" s="23"/>
    </row>
    <row r="43" spans="1:15">
      <c r="A43" s="19">
        <v>2</v>
      </c>
      <c r="B43" s="20">
        <v>43197</v>
      </c>
      <c r="C43" s="21">
        <v>4.14</v>
      </c>
      <c r="D43" s="22">
        <v>1</v>
      </c>
      <c r="E43" s="23">
        <v>196.2</v>
      </c>
      <c r="F43" s="24" t="s">
        <v>24</v>
      </c>
      <c r="G43" s="19" t="s">
        <v>25</v>
      </c>
      <c r="H43" s="25">
        <f t="shared" si="8"/>
        <v>9.8</v>
      </c>
      <c r="J43" s="20"/>
      <c r="K43" s="19"/>
      <c r="L43" s="23"/>
      <c r="M43" s="20"/>
      <c r="N43" s="19"/>
      <c r="O43" s="23"/>
    </row>
    <row r="44" spans="1:15">
      <c r="A44" s="19">
        <v>3</v>
      </c>
      <c r="B44" s="20">
        <v>43203</v>
      </c>
      <c r="C44" s="21">
        <v>4.13</v>
      </c>
      <c r="D44" s="22">
        <v>1</v>
      </c>
      <c r="E44" s="23">
        <f>ROUND(4200/30,1)</f>
        <v>140</v>
      </c>
      <c r="F44" s="24" t="s">
        <v>37</v>
      </c>
      <c r="G44" s="19" t="s">
        <v>25</v>
      </c>
      <c r="H44" s="25">
        <f t="shared" si="8"/>
        <v>7</v>
      </c>
      <c r="J44" s="20"/>
      <c r="K44" s="19"/>
      <c r="L44" s="23"/>
      <c r="M44" s="20"/>
      <c r="N44" s="19"/>
      <c r="O44" s="23"/>
    </row>
    <row r="45" spans="1:15">
      <c r="A45" s="19">
        <v>4</v>
      </c>
      <c r="B45" s="20">
        <v>43202</v>
      </c>
      <c r="C45" s="21">
        <v>4.12</v>
      </c>
      <c r="D45" s="22">
        <v>1</v>
      </c>
      <c r="E45" s="23">
        <v>196.2</v>
      </c>
      <c r="F45" s="24" t="s">
        <v>24</v>
      </c>
      <c r="G45" s="19" t="s">
        <v>25</v>
      </c>
      <c r="H45" s="25">
        <f t="shared" si="8"/>
        <v>9.8</v>
      </c>
      <c r="J45" s="20"/>
      <c r="K45" s="19"/>
      <c r="L45" s="23"/>
      <c r="M45" s="20"/>
      <c r="N45" s="19"/>
      <c r="O45" s="23"/>
    </row>
    <row r="46" spans="1:15">
      <c r="A46" s="19">
        <v>5</v>
      </c>
      <c r="B46" s="20">
        <v>43204</v>
      </c>
      <c r="C46" s="21" t="s">
        <v>188</v>
      </c>
      <c r="D46" s="22">
        <v>2</v>
      </c>
      <c r="E46" s="23">
        <v>392.4</v>
      </c>
      <c r="F46" s="24" t="s">
        <v>24</v>
      </c>
      <c r="G46" s="19" t="s">
        <v>25</v>
      </c>
      <c r="H46" s="25">
        <f t="shared" si="8"/>
        <v>19.6</v>
      </c>
      <c r="J46" s="20"/>
      <c r="K46" s="19"/>
      <c r="L46" s="23"/>
      <c r="M46" s="20"/>
      <c r="N46" s="19"/>
      <c r="O46" s="23"/>
    </row>
    <row r="47" spans="1:15">
      <c r="A47" s="19">
        <v>6</v>
      </c>
      <c r="B47" s="20">
        <v>43208</v>
      </c>
      <c r="C47" s="21" t="s">
        <v>235</v>
      </c>
      <c r="D47" s="22">
        <v>2</v>
      </c>
      <c r="E47" s="22">
        <v>392.4</v>
      </c>
      <c r="F47" s="24" t="s">
        <v>24</v>
      </c>
      <c r="G47" s="19" t="s">
        <v>25</v>
      </c>
      <c r="H47" s="25">
        <f t="shared" si="8"/>
        <v>19.6</v>
      </c>
      <c r="J47" s="20"/>
      <c r="K47" s="19"/>
      <c r="L47" s="23"/>
      <c r="M47" s="20"/>
      <c r="N47" s="19"/>
      <c r="O47" s="23"/>
    </row>
    <row r="48" spans="1:15">
      <c r="A48" s="19">
        <v>7</v>
      </c>
      <c r="B48" s="20">
        <v>43212</v>
      </c>
      <c r="C48" s="21">
        <v>4.24</v>
      </c>
      <c r="D48" s="22">
        <v>1</v>
      </c>
      <c r="E48" s="23">
        <v>196.2</v>
      </c>
      <c r="F48" s="24" t="s">
        <v>24</v>
      </c>
      <c r="G48" s="19" t="s">
        <v>25</v>
      </c>
      <c r="H48" s="25">
        <f t="shared" si="8"/>
        <v>9.8</v>
      </c>
      <c r="J48" s="20"/>
      <c r="K48" s="19"/>
      <c r="L48" s="23"/>
      <c r="M48" s="20"/>
      <c r="N48" s="19"/>
      <c r="O48" s="23"/>
    </row>
    <row r="49" spans="1:15">
      <c r="A49" s="19">
        <v>8</v>
      </c>
      <c r="B49" s="20">
        <v>43214</v>
      </c>
      <c r="C49" s="21" t="s">
        <v>236</v>
      </c>
      <c r="D49" s="22">
        <v>3</v>
      </c>
      <c r="E49" s="23">
        <v>588.6</v>
      </c>
      <c r="F49" s="24" t="s">
        <v>24</v>
      </c>
      <c r="G49" s="19" t="s">
        <v>25</v>
      </c>
      <c r="H49" s="25">
        <f t="shared" si="8"/>
        <v>29.4</v>
      </c>
      <c r="J49" s="20"/>
      <c r="K49" s="19"/>
      <c r="L49" s="23"/>
      <c r="M49" s="20"/>
      <c r="N49" s="19"/>
      <c r="O49" s="23"/>
    </row>
    <row r="50" spans="1:15">
      <c r="A50" s="19">
        <v>9</v>
      </c>
      <c r="B50" s="20"/>
      <c r="C50" s="34"/>
      <c r="D50" s="22"/>
      <c r="E50" s="23"/>
      <c r="F50" s="24"/>
      <c r="G50" s="19"/>
      <c r="H50" s="19"/>
      <c r="J50" s="20"/>
      <c r="K50" s="19"/>
      <c r="L50" s="23"/>
      <c r="M50" s="20"/>
      <c r="N50" s="19"/>
      <c r="O50" s="23"/>
    </row>
    <row r="51" spans="1:15">
      <c r="A51" s="19">
        <v>10</v>
      </c>
      <c r="B51" s="20"/>
      <c r="C51" s="21"/>
      <c r="D51" s="22"/>
      <c r="E51" s="23"/>
      <c r="F51" s="24"/>
      <c r="G51" s="19"/>
      <c r="H51" s="19"/>
      <c r="J51" s="20"/>
      <c r="K51" s="19"/>
      <c r="L51" s="23"/>
      <c r="M51" s="20"/>
      <c r="N51" s="19"/>
      <c r="O51" s="23"/>
    </row>
    <row r="52" spans="1:15">
      <c r="A52" s="19">
        <v>11</v>
      </c>
      <c r="B52" s="20">
        <v>43206</v>
      </c>
      <c r="C52" s="21" t="s">
        <v>74</v>
      </c>
      <c r="D52" s="22">
        <v>2</v>
      </c>
      <c r="E52" s="23">
        <v>527.4</v>
      </c>
      <c r="F52" s="24" t="s">
        <v>57</v>
      </c>
      <c r="G52" s="19" t="s">
        <v>27</v>
      </c>
      <c r="H52" s="25">
        <f>ROUND(E52*0.05,1)</f>
        <v>26.4</v>
      </c>
      <c r="J52" s="20"/>
      <c r="K52" s="19"/>
      <c r="L52" s="23"/>
      <c r="M52" s="20"/>
      <c r="N52" s="19"/>
      <c r="O52" s="23"/>
    </row>
    <row r="53" ht="30" customHeight="1" spans="1:15">
      <c r="A53" s="12" t="s">
        <v>76</v>
      </c>
      <c r="B53" s="13"/>
      <c r="C53" s="14"/>
      <c r="D53" s="15">
        <f t="shared" ref="D53:H53" si="9">SUM(D54:D64)</f>
        <v>6</v>
      </c>
      <c r="E53" s="16">
        <f t="shared" si="9"/>
        <v>1143</v>
      </c>
      <c r="F53" s="14"/>
      <c r="G53" s="14"/>
      <c r="H53" s="16">
        <f t="shared" si="9"/>
        <v>57.1</v>
      </c>
      <c r="J53" s="14"/>
      <c r="K53" s="14"/>
      <c r="L53" s="16">
        <f>SUM(L54:L64)</f>
        <v>0</v>
      </c>
      <c r="M53" s="14"/>
      <c r="N53" s="14"/>
      <c r="O53" s="16"/>
    </row>
    <row r="54" spans="1:15">
      <c r="A54" s="19">
        <v>1</v>
      </c>
      <c r="B54" s="20">
        <v>43166</v>
      </c>
      <c r="C54" s="21" t="s">
        <v>237</v>
      </c>
      <c r="D54" s="22">
        <v>2</v>
      </c>
      <c r="E54" s="22">
        <v>358.2</v>
      </c>
      <c r="F54" s="24" t="s">
        <v>24</v>
      </c>
      <c r="G54" s="19" t="s">
        <v>25</v>
      </c>
      <c r="H54" s="25">
        <v>17.9</v>
      </c>
      <c r="J54" s="40"/>
      <c r="K54" s="19"/>
      <c r="L54" s="23"/>
      <c r="M54" s="40"/>
      <c r="N54" s="19"/>
      <c r="O54" s="23"/>
    </row>
    <row r="55" spans="1:15">
      <c r="A55" s="19">
        <v>2</v>
      </c>
      <c r="B55" s="20">
        <v>43214</v>
      </c>
      <c r="C55" s="21" t="s">
        <v>238</v>
      </c>
      <c r="D55" s="22">
        <v>4</v>
      </c>
      <c r="E55" s="23">
        <v>784.8</v>
      </c>
      <c r="F55" s="24" t="s">
        <v>24</v>
      </c>
      <c r="G55" s="19" t="s">
        <v>25</v>
      </c>
      <c r="H55" s="25">
        <f>ROUND(E55*0.05,1)</f>
        <v>39.2</v>
      </c>
      <c r="J55" s="20"/>
      <c r="K55" s="19"/>
      <c r="L55" s="23"/>
      <c r="M55" s="20"/>
      <c r="N55" s="19"/>
      <c r="O55" s="23"/>
    </row>
    <row r="56" spans="1:15">
      <c r="A56" s="19">
        <v>3</v>
      </c>
      <c r="B56" s="20"/>
      <c r="C56" s="21"/>
      <c r="D56" s="22"/>
      <c r="E56" s="23"/>
      <c r="F56" s="24"/>
      <c r="G56" s="19"/>
      <c r="H56" s="19"/>
      <c r="J56" s="20"/>
      <c r="K56" s="19"/>
      <c r="L56" s="23"/>
      <c r="M56" s="20"/>
      <c r="N56" s="19"/>
      <c r="O56" s="23"/>
    </row>
    <row r="57" spans="1:15">
      <c r="A57" s="19">
        <v>4</v>
      </c>
      <c r="B57" s="20"/>
      <c r="C57" s="21"/>
      <c r="D57" s="22"/>
      <c r="E57" s="23"/>
      <c r="F57" s="24"/>
      <c r="G57" s="19"/>
      <c r="H57" s="19"/>
      <c r="J57" s="20"/>
      <c r="K57" s="19"/>
      <c r="L57" s="23"/>
      <c r="M57" s="20"/>
      <c r="N57" s="19"/>
      <c r="O57" s="23"/>
    </row>
    <row r="58" spans="1:15">
      <c r="A58" s="19">
        <v>5</v>
      </c>
      <c r="B58" s="20"/>
      <c r="C58" s="21"/>
      <c r="D58" s="22"/>
      <c r="E58" s="23"/>
      <c r="F58" s="24"/>
      <c r="G58" s="19"/>
      <c r="H58" s="19"/>
      <c r="J58" s="20"/>
      <c r="K58" s="19"/>
      <c r="L58" s="23"/>
      <c r="M58" s="20"/>
      <c r="N58" s="19"/>
      <c r="O58" s="23"/>
    </row>
    <row r="59" spans="1:15">
      <c r="A59" s="19">
        <v>6</v>
      </c>
      <c r="B59" s="20"/>
      <c r="C59" s="21"/>
      <c r="D59" s="22"/>
      <c r="E59" s="23"/>
      <c r="F59" s="24"/>
      <c r="G59" s="19"/>
      <c r="H59" s="19"/>
      <c r="J59" s="20"/>
      <c r="K59" s="19"/>
      <c r="L59" s="23"/>
      <c r="M59" s="20"/>
      <c r="N59" s="19"/>
      <c r="O59" s="23"/>
    </row>
    <row r="60" spans="1:15">
      <c r="A60" s="19">
        <v>7</v>
      </c>
      <c r="B60" s="20"/>
      <c r="C60" s="21"/>
      <c r="D60" s="22"/>
      <c r="E60" s="23"/>
      <c r="F60" s="24"/>
      <c r="G60" s="19"/>
      <c r="H60" s="19"/>
      <c r="J60" s="20"/>
      <c r="K60" s="19"/>
      <c r="L60" s="23"/>
      <c r="M60" s="20"/>
      <c r="N60" s="19"/>
      <c r="O60" s="23"/>
    </row>
    <row r="61" spans="1:15">
      <c r="A61" s="19">
        <v>8</v>
      </c>
      <c r="B61" s="20"/>
      <c r="C61" s="21"/>
      <c r="D61" s="22"/>
      <c r="E61" s="23"/>
      <c r="F61" s="24"/>
      <c r="G61" s="19"/>
      <c r="H61" s="19"/>
      <c r="J61" s="20"/>
      <c r="K61" s="19"/>
      <c r="L61" s="23"/>
      <c r="M61" s="20"/>
      <c r="N61" s="19"/>
      <c r="O61" s="23"/>
    </row>
    <row r="62" spans="1:15">
      <c r="A62" s="19">
        <v>9</v>
      </c>
      <c r="B62" s="20"/>
      <c r="C62" s="21"/>
      <c r="D62" s="22"/>
      <c r="E62" s="23"/>
      <c r="F62" s="24"/>
      <c r="G62" s="19"/>
      <c r="H62" s="19"/>
      <c r="J62" s="20"/>
      <c r="K62" s="19"/>
      <c r="L62" s="23"/>
      <c r="M62" s="20"/>
      <c r="N62" s="19"/>
      <c r="O62" s="23"/>
    </row>
    <row r="63" spans="1:15">
      <c r="A63" s="19">
        <v>10</v>
      </c>
      <c r="B63" s="20"/>
      <c r="C63" s="21"/>
      <c r="D63" s="22"/>
      <c r="E63" s="23"/>
      <c r="F63" s="24"/>
      <c r="G63" s="19"/>
      <c r="H63" s="19"/>
      <c r="J63" s="20"/>
      <c r="K63" s="19"/>
      <c r="L63" s="23"/>
      <c r="M63" s="20"/>
      <c r="N63" s="19"/>
      <c r="O63" s="23"/>
    </row>
    <row r="64" spans="1:15">
      <c r="A64" s="19">
        <v>11</v>
      </c>
      <c r="B64" s="20"/>
      <c r="C64" s="21"/>
      <c r="D64" s="22"/>
      <c r="E64" s="23"/>
      <c r="F64" s="24"/>
      <c r="G64" s="19"/>
      <c r="H64" s="19"/>
      <c r="J64" s="20"/>
      <c r="K64" s="19"/>
      <c r="L64" s="23"/>
      <c r="M64" s="20"/>
      <c r="N64" s="19"/>
      <c r="O64" s="23"/>
    </row>
    <row r="65" ht="30" customHeight="1" spans="1:15">
      <c r="A65" s="12" t="s">
        <v>80</v>
      </c>
      <c r="B65" s="13"/>
      <c r="C65" s="14"/>
      <c r="D65" s="15">
        <f t="shared" ref="D65:H65" si="10">SUM(D66:D76)</f>
        <v>2</v>
      </c>
      <c r="E65" s="16">
        <f t="shared" si="10"/>
        <v>356.4</v>
      </c>
      <c r="F65" s="14"/>
      <c r="G65" s="14"/>
      <c r="H65" s="16">
        <f t="shared" si="10"/>
        <v>0</v>
      </c>
      <c r="J65" s="14"/>
      <c r="K65" s="14"/>
      <c r="L65" s="16">
        <f>SUM(L66:L76)</f>
        <v>0</v>
      </c>
      <c r="M65" s="14"/>
      <c r="N65" s="14"/>
      <c r="O65" s="16"/>
    </row>
    <row r="66" spans="1:15">
      <c r="A66" s="19">
        <v>1</v>
      </c>
      <c r="B66" s="20"/>
      <c r="C66" s="21"/>
      <c r="D66" s="22"/>
      <c r="E66" s="23"/>
      <c r="F66" s="24"/>
      <c r="G66" s="19"/>
      <c r="H66" s="19"/>
      <c r="J66" s="40"/>
      <c r="K66" s="19"/>
      <c r="L66" s="23"/>
      <c r="M66" s="40"/>
      <c r="N66" s="19"/>
      <c r="O66" s="23"/>
    </row>
    <row r="67" spans="1:15">
      <c r="A67" s="19">
        <v>2</v>
      </c>
      <c r="B67" s="20"/>
      <c r="C67" s="21"/>
      <c r="D67" s="22"/>
      <c r="E67" s="23"/>
      <c r="F67" s="19"/>
      <c r="G67" s="19"/>
      <c r="H67" s="19"/>
      <c r="J67" s="20"/>
      <c r="K67" s="19"/>
      <c r="L67" s="23"/>
      <c r="M67" s="20"/>
      <c r="N67" s="19"/>
      <c r="O67" s="23"/>
    </row>
    <row r="68" spans="1:15">
      <c r="A68" s="19">
        <v>3</v>
      </c>
      <c r="B68" s="20">
        <v>43171</v>
      </c>
      <c r="C68" s="21" t="s">
        <v>81</v>
      </c>
      <c r="D68" s="22">
        <v>2</v>
      </c>
      <c r="E68" s="23">
        <v>356.4</v>
      </c>
      <c r="F68" s="24" t="s">
        <v>57</v>
      </c>
      <c r="G68" s="19" t="s">
        <v>27</v>
      </c>
      <c r="H68" s="19"/>
      <c r="J68" s="20"/>
      <c r="K68" s="19"/>
      <c r="L68" s="23"/>
      <c r="M68" s="20"/>
      <c r="N68" s="19"/>
      <c r="O68" s="23"/>
    </row>
    <row r="69" spans="1:15">
      <c r="A69" s="19">
        <v>4</v>
      </c>
      <c r="B69" s="20"/>
      <c r="C69" s="21"/>
      <c r="D69" s="22"/>
      <c r="E69" s="23"/>
      <c r="F69" s="24"/>
      <c r="G69" s="19"/>
      <c r="H69" s="19"/>
      <c r="J69" s="20"/>
      <c r="K69" s="19"/>
      <c r="L69" s="23"/>
      <c r="M69" s="20"/>
      <c r="N69" s="19"/>
      <c r="O69" s="23"/>
    </row>
    <row r="70" spans="1:15">
      <c r="A70" s="19">
        <v>5</v>
      </c>
      <c r="B70" s="20"/>
      <c r="C70" s="21"/>
      <c r="D70" s="22"/>
      <c r="E70" s="23"/>
      <c r="F70" s="24"/>
      <c r="G70" s="19"/>
      <c r="H70" s="19"/>
      <c r="J70" s="20"/>
      <c r="K70" s="19"/>
      <c r="L70" s="23"/>
      <c r="M70" s="20"/>
      <c r="N70" s="19"/>
      <c r="O70" s="23"/>
    </row>
    <row r="71" spans="1:15">
      <c r="A71" s="19">
        <v>6</v>
      </c>
      <c r="B71" s="20"/>
      <c r="C71" s="21"/>
      <c r="D71" s="22"/>
      <c r="E71" s="23"/>
      <c r="F71" s="24"/>
      <c r="G71" s="19"/>
      <c r="H71" s="19"/>
      <c r="J71" s="20"/>
      <c r="K71" s="19"/>
      <c r="L71" s="23"/>
      <c r="M71" s="20"/>
      <c r="N71" s="19"/>
      <c r="O71" s="23"/>
    </row>
    <row r="72" spans="1:15">
      <c r="A72" s="19">
        <v>7</v>
      </c>
      <c r="B72" s="20"/>
      <c r="C72" s="21"/>
      <c r="D72" s="22"/>
      <c r="E72" s="23"/>
      <c r="F72" s="24"/>
      <c r="G72" s="19"/>
      <c r="H72" s="19"/>
      <c r="J72" s="20"/>
      <c r="K72" s="19"/>
      <c r="L72" s="23"/>
      <c r="M72" s="20"/>
      <c r="N72" s="19"/>
      <c r="O72" s="23"/>
    </row>
    <row r="73" spans="1:15">
      <c r="A73" s="19">
        <v>8</v>
      </c>
      <c r="B73" s="20"/>
      <c r="C73" s="21"/>
      <c r="D73" s="22"/>
      <c r="E73" s="23"/>
      <c r="F73" s="24"/>
      <c r="G73" s="19"/>
      <c r="H73" s="19"/>
      <c r="J73" s="20"/>
      <c r="K73" s="19"/>
      <c r="L73" s="23"/>
      <c r="M73" s="20"/>
      <c r="N73" s="19"/>
      <c r="O73" s="23"/>
    </row>
    <row r="74" spans="1:15">
      <c r="A74" s="19">
        <v>9</v>
      </c>
      <c r="B74" s="20"/>
      <c r="C74" s="21"/>
      <c r="D74" s="22"/>
      <c r="E74" s="23"/>
      <c r="F74" s="24"/>
      <c r="G74" s="19"/>
      <c r="H74" s="19"/>
      <c r="J74" s="20"/>
      <c r="K74" s="19"/>
      <c r="L74" s="23"/>
      <c r="M74" s="20"/>
      <c r="N74" s="19"/>
      <c r="O74" s="23"/>
    </row>
    <row r="75" spans="1:15">
      <c r="A75" s="19">
        <v>10</v>
      </c>
      <c r="B75" s="20"/>
      <c r="C75" s="21"/>
      <c r="D75" s="22"/>
      <c r="E75" s="23"/>
      <c r="F75" s="24"/>
      <c r="G75" s="19"/>
      <c r="H75" s="19"/>
      <c r="J75" s="20"/>
      <c r="K75" s="19"/>
      <c r="L75" s="23"/>
      <c r="M75" s="20"/>
      <c r="N75" s="19"/>
      <c r="O75" s="23"/>
    </row>
    <row r="76" spans="1:15">
      <c r="A76" s="19">
        <v>11</v>
      </c>
      <c r="B76" s="20"/>
      <c r="C76" s="21"/>
      <c r="D76" s="22"/>
      <c r="E76" s="23"/>
      <c r="F76" s="24"/>
      <c r="G76" s="19"/>
      <c r="H76" s="19"/>
      <c r="J76" s="20"/>
      <c r="K76" s="19"/>
      <c r="L76" s="23"/>
      <c r="M76" s="20"/>
      <c r="N76" s="19"/>
      <c r="O76" s="23"/>
    </row>
    <row r="77" ht="30" customHeight="1" spans="1:15">
      <c r="A77" s="12" t="s">
        <v>82</v>
      </c>
      <c r="B77" s="13"/>
      <c r="C77" s="14"/>
      <c r="D77" s="15">
        <f t="shared" ref="D77:H77" si="11">SUM(D78:D88)</f>
        <v>0</v>
      </c>
      <c r="E77" s="16">
        <f t="shared" si="11"/>
        <v>0</v>
      </c>
      <c r="F77" s="14"/>
      <c r="G77" s="14"/>
      <c r="H77" s="16">
        <f t="shared" si="11"/>
        <v>0</v>
      </c>
      <c r="J77" s="14"/>
      <c r="K77" s="14"/>
      <c r="L77" s="16">
        <f>SUM(L78:L88)</f>
        <v>0</v>
      </c>
      <c r="M77" s="14"/>
      <c r="N77" s="14"/>
      <c r="O77" s="16"/>
    </row>
    <row r="78" spans="1:15">
      <c r="A78" s="19">
        <v>1</v>
      </c>
      <c r="B78" s="20"/>
      <c r="C78" s="21"/>
      <c r="D78" s="22"/>
      <c r="E78" s="23"/>
      <c r="F78" s="24"/>
      <c r="G78" s="19"/>
      <c r="H78" s="19"/>
      <c r="J78" s="40"/>
      <c r="K78" s="19"/>
      <c r="L78" s="23"/>
      <c r="M78" s="40"/>
      <c r="N78" s="19"/>
      <c r="O78" s="23"/>
    </row>
    <row r="79" spans="1:15">
      <c r="A79" s="19">
        <v>2</v>
      </c>
      <c r="B79" s="20"/>
      <c r="C79" s="21"/>
      <c r="D79" s="22"/>
      <c r="E79" s="23"/>
      <c r="F79" s="19"/>
      <c r="G79" s="19"/>
      <c r="H79" s="19"/>
      <c r="J79" s="20"/>
      <c r="K79" s="19"/>
      <c r="L79" s="23"/>
      <c r="M79" s="20"/>
      <c r="N79" s="19"/>
      <c r="O79" s="23"/>
    </row>
    <row r="80" spans="1:15">
      <c r="A80" s="19">
        <v>3</v>
      </c>
      <c r="B80" s="20"/>
      <c r="C80" s="21"/>
      <c r="D80" s="22"/>
      <c r="E80" s="23"/>
      <c r="F80" s="24"/>
      <c r="G80" s="19"/>
      <c r="H80" s="19"/>
      <c r="J80" s="20"/>
      <c r="K80" s="19"/>
      <c r="L80" s="23"/>
      <c r="M80" s="20"/>
      <c r="N80" s="19"/>
      <c r="O80" s="23"/>
    </row>
    <row r="81" spans="1:15">
      <c r="A81" s="19">
        <v>4</v>
      </c>
      <c r="B81" s="20"/>
      <c r="C81" s="21"/>
      <c r="D81" s="22"/>
      <c r="E81" s="23"/>
      <c r="F81" s="24"/>
      <c r="G81" s="19"/>
      <c r="H81" s="19"/>
      <c r="J81" s="20"/>
      <c r="K81" s="19"/>
      <c r="L81" s="23"/>
      <c r="M81" s="20"/>
      <c r="N81" s="19"/>
      <c r="O81" s="23"/>
    </row>
    <row r="82" spans="1:15">
      <c r="A82" s="19">
        <v>5</v>
      </c>
      <c r="B82" s="20"/>
      <c r="C82" s="21"/>
      <c r="D82" s="22"/>
      <c r="E82" s="23"/>
      <c r="F82" s="24"/>
      <c r="G82" s="19"/>
      <c r="H82" s="19"/>
      <c r="J82" s="20"/>
      <c r="K82" s="19"/>
      <c r="L82" s="23"/>
      <c r="M82" s="20"/>
      <c r="N82" s="19"/>
      <c r="O82" s="23"/>
    </row>
    <row r="83" spans="1:15">
      <c r="A83" s="19">
        <v>6</v>
      </c>
      <c r="B83" s="20"/>
      <c r="C83" s="21"/>
      <c r="D83" s="22"/>
      <c r="E83" s="23"/>
      <c r="F83" s="24"/>
      <c r="G83" s="19"/>
      <c r="H83" s="19"/>
      <c r="J83" s="20"/>
      <c r="K83" s="19"/>
      <c r="L83" s="23"/>
      <c r="M83" s="20"/>
      <c r="N83" s="19"/>
      <c r="O83" s="23"/>
    </row>
    <row r="84" spans="1:15">
      <c r="A84" s="19">
        <v>7</v>
      </c>
      <c r="B84" s="20"/>
      <c r="C84" s="21"/>
      <c r="D84" s="22"/>
      <c r="E84" s="23"/>
      <c r="F84" s="24"/>
      <c r="G84" s="19"/>
      <c r="H84" s="19"/>
      <c r="J84" s="20"/>
      <c r="K84" s="19"/>
      <c r="L84" s="23"/>
      <c r="M84" s="20"/>
      <c r="N84" s="19"/>
      <c r="O84" s="23"/>
    </row>
    <row r="85" spans="1:15">
      <c r="A85" s="19">
        <v>8</v>
      </c>
      <c r="B85" s="20"/>
      <c r="C85" s="21"/>
      <c r="D85" s="22"/>
      <c r="E85" s="23"/>
      <c r="F85" s="24"/>
      <c r="G85" s="19"/>
      <c r="H85" s="19"/>
      <c r="J85" s="20"/>
      <c r="K85" s="19"/>
      <c r="L85" s="23"/>
      <c r="M85" s="20"/>
      <c r="N85" s="19"/>
      <c r="O85" s="23"/>
    </row>
    <row r="86" spans="1:15">
      <c r="A86" s="19">
        <v>9</v>
      </c>
      <c r="B86" s="20"/>
      <c r="C86" s="21"/>
      <c r="D86" s="22"/>
      <c r="E86" s="23"/>
      <c r="F86" s="24"/>
      <c r="G86" s="19"/>
      <c r="H86" s="19"/>
      <c r="J86" s="20"/>
      <c r="K86" s="19"/>
      <c r="L86" s="23"/>
      <c r="M86" s="20"/>
      <c r="N86" s="19"/>
      <c r="O86" s="23"/>
    </row>
    <row r="87" spans="1:15">
      <c r="A87" s="19">
        <v>10</v>
      </c>
      <c r="B87" s="20"/>
      <c r="C87" s="21"/>
      <c r="D87" s="22"/>
      <c r="E87" s="23"/>
      <c r="F87" s="24"/>
      <c r="G87" s="19"/>
      <c r="H87" s="19"/>
      <c r="J87" s="20"/>
      <c r="K87" s="19"/>
      <c r="L87" s="23"/>
      <c r="M87" s="20"/>
      <c r="N87" s="19"/>
      <c r="O87" s="23"/>
    </row>
    <row r="88" spans="1:15">
      <c r="A88" s="19">
        <v>11</v>
      </c>
      <c r="B88" s="20"/>
      <c r="C88" s="21"/>
      <c r="D88" s="22"/>
      <c r="E88" s="23"/>
      <c r="F88" s="24"/>
      <c r="G88" s="19"/>
      <c r="H88" s="19"/>
      <c r="J88" s="20"/>
      <c r="K88" s="19"/>
      <c r="L88" s="23"/>
      <c r="M88" s="20"/>
      <c r="N88" s="19"/>
      <c r="O88" s="23"/>
    </row>
    <row r="89" ht="30" customHeight="1" spans="1:15">
      <c r="A89" s="12" t="s">
        <v>83</v>
      </c>
      <c r="B89" s="13"/>
      <c r="C89" s="14"/>
      <c r="D89" s="15">
        <f t="shared" ref="D89:H89" si="12">SUM(D90:D100)</f>
        <v>0</v>
      </c>
      <c r="E89" s="16">
        <f t="shared" si="12"/>
        <v>0</v>
      </c>
      <c r="F89" s="14"/>
      <c r="G89" s="14"/>
      <c r="H89" s="16">
        <f t="shared" si="12"/>
        <v>0</v>
      </c>
      <c r="J89" s="14"/>
      <c r="K89" s="14"/>
      <c r="L89" s="16">
        <f>SUM(L90:L100)</f>
        <v>0</v>
      </c>
      <c r="M89" s="14"/>
      <c r="N89" s="14"/>
      <c r="O89" s="16"/>
    </row>
    <row r="90" spans="1:15">
      <c r="A90" s="19">
        <v>1</v>
      </c>
      <c r="B90" s="20"/>
      <c r="C90" s="21"/>
      <c r="D90" s="22"/>
      <c r="E90" s="23"/>
      <c r="F90" s="24"/>
      <c r="G90" s="19"/>
      <c r="H90" s="19"/>
      <c r="J90" s="40"/>
      <c r="K90" s="19"/>
      <c r="L90" s="23"/>
      <c r="M90" s="40"/>
      <c r="N90" s="19"/>
      <c r="O90" s="23"/>
    </row>
    <row r="91" spans="1:15">
      <c r="A91" s="19">
        <v>2</v>
      </c>
      <c r="B91" s="20"/>
      <c r="C91" s="21"/>
      <c r="D91" s="22"/>
      <c r="E91" s="23"/>
      <c r="F91" s="19"/>
      <c r="G91" s="19"/>
      <c r="H91" s="19"/>
      <c r="J91" s="20"/>
      <c r="K91" s="19"/>
      <c r="L91" s="23"/>
      <c r="M91" s="20"/>
      <c r="N91" s="19"/>
      <c r="O91" s="23"/>
    </row>
    <row r="92" spans="1:15">
      <c r="A92" s="19">
        <v>3</v>
      </c>
      <c r="B92" s="20"/>
      <c r="C92" s="21"/>
      <c r="D92" s="22"/>
      <c r="E92" s="23"/>
      <c r="F92" s="24"/>
      <c r="G92" s="19"/>
      <c r="H92" s="19"/>
      <c r="J92" s="20"/>
      <c r="K92" s="19"/>
      <c r="L92" s="23"/>
      <c r="M92" s="20"/>
      <c r="N92" s="19"/>
      <c r="O92" s="23"/>
    </row>
    <row r="93" spans="1:15">
      <c r="A93" s="19">
        <v>4</v>
      </c>
      <c r="B93" s="20"/>
      <c r="C93" s="21"/>
      <c r="D93" s="22"/>
      <c r="E93" s="23"/>
      <c r="F93" s="24"/>
      <c r="G93" s="19"/>
      <c r="H93" s="19"/>
      <c r="J93" s="20"/>
      <c r="K93" s="19"/>
      <c r="L93" s="23"/>
      <c r="M93" s="20"/>
      <c r="N93" s="19"/>
      <c r="O93" s="23"/>
    </row>
    <row r="94" spans="1:15">
      <c r="A94" s="19">
        <v>5</v>
      </c>
      <c r="B94" s="20"/>
      <c r="C94" s="21"/>
      <c r="D94" s="22"/>
      <c r="E94" s="23"/>
      <c r="F94" s="24"/>
      <c r="G94" s="19"/>
      <c r="H94" s="19"/>
      <c r="J94" s="20"/>
      <c r="K94" s="19"/>
      <c r="L94" s="23"/>
      <c r="M94" s="20"/>
      <c r="N94" s="19"/>
      <c r="O94" s="23"/>
    </row>
    <row r="95" spans="1:15">
      <c r="A95" s="19">
        <v>6</v>
      </c>
      <c r="B95" s="20"/>
      <c r="C95" s="21"/>
      <c r="D95" s="22"/>
      <c r="E95" s="23"/>
      <c r="F95" s="24"/>
      <c r="G95" s="19"/>
      <c r="H95" s="19"/>
      <c r="J95" s="20"/>
      <c r="K95" s="19"/>
      <c r="L95" s="23"/>
      <c r="M95" s="20"/>
      <c r="N95" s="19"/>
      <c r="O95" s="23"/>
    </row>
    <row r="96" spans="1:15">
      <c r="A96" s="19">
        <v>7</v>
      </c>
      <c r="B96" s="20"/>
      <c r="C96" s="21"/>
      <c r="D96" s="22"/>
      <c r="E96" s="23"/>
      <c r="F96" s="24"/>
      <c r="G96" s="19"/>
      <c r="H96" s="19"/>
      <c r="J96" s="20"/>
      <c r="K96" s="19"/>
      <c r="L96" s="23"/>
      <c r="M96" s="20"/>
      <c r="N96" s="19"/>
      <c r="O96" s="23"/>
    </row>
    <row r="97" spans="1:15">
      <c r="A97" s="19">
        <v>8</v>
      </c>
      <c r="B97" s="20"/>
      <c r="C97" s="21"/>
      <c r="D97" s="22"/>
      <c r="E97" s="23"/>
      <c r="F97" s="24"/>
      <c r="G97" s="19"/>
      <c r="H97" s="19"/>
      <c r="J97" s="20"/>
      <c r="K97" s="19"/>
      <c r="L97" s="23"/>
      <c r="M97" s="20"/>
      <c r="N97" s="19"/>
      <c r="O97" s="23"/>
    </row>
    <row r="98" spans="1:15">
      <c r="A98" s="19">
        <v>9</v>
      </c>
      <c r="B98" s="20"/>
      <c r="C98" s="21"/>
      <c r="D98" s="22"/>
      <c r="E98" s="23"/>
      <c r="F98" s="24"/>
      <c r="G98" s="19"/>
      <c r="H98" s="19"/>
      <c r="J98" s="20"/>
      <c r="K98" s="19"/>
      <c r="L98" s="23"/>
      <c r="M98" s="20"/>
      <c r="N98" s="19"/>
      <c r="O98" s="23"/>
    </row>
    <row r="99" spans="1:15">
      <c r="A99" s="19">
        <v>10</v>
      </c>
      <c r="B99" s="20"/>
      <c r="C99" s="21"/>
      <c r="D99" s="22"/>
      <c r="E99" s="23"/>
      <c r="F99" s="24"/>
      <c r="G99" s="19"/>
      <c r="H99" s="19"/>
      <c r="J99" s="20"/>
      <c r="K99" s="19"/>
      <c r="L99" s="23"/>
      <c r="M99" s="20"/>
      <c r="N99" s="19"/>
      <c r="O99" s="23"/>
    </row>
    <row r="100" spans="1:15">
      <c r="A100" s="19">
        <v>11</v>
      </c>
      <c r="B100" s="20"/>
      <c r="C100" s="21"/>
      <c r="D100" s="22"/>
      <c r="E100" s="23"/>
      <c r="F100" s="24"/>
      <c r="G100" s="19"/>
      <c r="H100" s="19"/>
      <c r="J100" s="20"/>
      <c r="K100" s="19"/>
      <c r="L100" s="23"/>
      <c r="M100" s="20"/>
      <c r="N100" s="19"/>
      <c r="O100" s="23"/>
    </row>
    <row r="101" ht="30" customHeight="1" spans="1:15">
      <c r="A101" s="12" t="s">
        <v>84</v>
      </c>
      <c r="B101" s="13"/>
      <c r="C101" s="14"/>
      <c r="D101" s="15">
        <f t="shared" ref="D101:H101" si="13">SUM(D102:D112)</f>
        <v>0</v>
      </c>
      <c r="E101" s="16">
        <f t="shared" si="13"/>
        <v>0</v>
      </c>
      <c r="F101" s="14"/>
      <c r="G101" s="14"/>
      <c r="H101" s="16">
        <f t="shared" si="13"/>
        <v>0</v>
      </c>
      <c r="J101" s="14"/>
      <c r="K101" s="14"/>
      <c r="L101" s="16">
        <f>SUM(L102:L112)</f>
        <v>0</v>
      </c>
      <c r="M101" s="14"/>
      <c r="N101" s="14"/>
      <c r="O101" s="16"/>
    </row>
    <row r="102" spans="1:15">
      <c r="A102" s="19">
        <v>1</v>
      </c>
      <c r="B102" s="20"/>
      <c r="C102" s="21"/>
      <c r="D102" s="22"/>
      <c r="E102" s="23"/>
      <c r="F102" s="24"/>
      <c r="G102" s="19"/>
      <c r="H102" s="19"/>
      <c r="J102" s="40"/>
      <c r="K102" s="19"/>
      <c r="L102" s="23"/>
      <c r="M102" s="40"/>
      <c r="N102" s="19"/>
      <c r="O102" s="23"/>
    </row>
    <row r="103" spans="1:15">
      <c r="A103" s="19">
        <v>2</v>
      </c>
      <c r="B103" s="20"/>
      <c r="C103" s="21"/>
      <c r="D103" s="22"/>
      <c r="E103" s="23"/>
      <c r="F103" s="19"/>
      <c r="G103" s="19"/>
      <c r="H103" s="19"/>
      <c r="J103" s="20"/>
      <c r="K103" s="19"/>
      <c r="L103" s="23"/>
      <c r="M103" s="20"/>
      <c r="N103" s="19"/>
      <c r="O103" s="23"/>
    </row>
    <row r="104" spans="1:15">
      <c r="A104" s="19">
        <v>3</v>
      </c>
      <c r="B104" s="20"/>
      <c r="C104" s="21"/>
      <c r="D104" s="22"/>
      <c r="E104" s="23"/>
      <c r="F104" s="24"/>
      <c r="G104" s="19"/>
      <c r="H104" s="19"/>
      <c r="J104" s="20"/>
      <c r="K104" s="19"/>
      <c r="L104" s="23"/>
      <c r="M104" s="20"/>
      <c r="N104" s="19"/>
      <c r="O104" s="23"/>
    </row>
    <row r="105" spans="1:15">
      <c r="A105" s="19">
        <v>4</v>
      </c>
      <c r="B105" s="20"/>
      <c r="C105" s="21"/>
      <c r="D105" s="22"/>
      <c r="E105" s="23"/>
      <c r="F105" s="24"/>
      <c r="G105" s="19"/>
      <c r="H105" s="19"/>
      <c r="J105" s="20"/>
      <c r="K105" s="19"/>
      <c r="L105" s="23"/>
      <c r="M105" s="20"/>
      <c r="N105" s="19"/>
      <c r="O105" s="23"/>
    </row>
    <row r="106" spans="1:15">
      <c r="A106" s="19">
        <v>5</v>
      </c>
      <c r="B106" s="20"/>
      <c r="C106" s="21"/>
      <c r="D106" s="22"/>
      <c r="E106" s="23"/>
      <c r="F106" s="24"/>
      <c r="G106" s="19"/>
      <c r="H106" s="19"/>
      <c r="J106" s="20"/>
      <c r="K106" s="19"/>
      <c r="L106" s="23"/>
      <c r="M106" s="20"/>
      <c r="N106" s="19"/>
      <c r="O106" s="23"/>
    </row>
    <row r="107" spans="1:15">
      <c r="A107" s="19">
        <v>6</v>
      </c>
      <c r="B107" s="20"/>
      <c r="C107" s="21"/>
      <c r="D107" s="22"/>
      <c r="E107" s="23"/>
      <c r="F107" s="24"/>
      <c r="G107" s="19"/>
      <c r="H107" s="19"/>
      <c r="J107" s="20"/>
      <c r="K107" s="19"/>
      <c r="L107" s="23"/>
      <c r="M107" s="20"/>
      <c r="N107" s="19"/>
      <c r="O107" s="23"/>
    </row>
    <row r="108" spans="1:15">
      <c r="A108" s="19">
        <v>7</v>
      </c>
      <c r="B108" s="20"/>
      <c r="C108" s="21"/>
      <c r="D108" s="22"/>
      <c r="E108" s="23"/>
      <c r="F108" s="24"/>
      <c r="G108" s="19"/>
      <c r="H108" s="19"/>
      <c r="J108" s="20"/>
      <c r="K108" s="19"/>
      <c r="L108" s="23"/>
      <c r="M108" s="20"/>
      <c r="N108" s="19"/>
      <c r="O108" s="23"/>
    </row>
    <row r="109" spans="1:15">
      <c r="A109" s="19">
        <v>8</v>
      </c>
      <c r="B109" s="20"/>
      <c r="C109" s="21"/>
      <c r="D109" s="22"/>
      <c r="E109" s="23"/>
      <c r="F109" s="24"/>
      <c r="G109" s="19"/>
      <c r="H109" s="19"/>
      <c r="J109" s="20"/>
      <c r="K109" s="19"/>
      <c r="L109" s="23"/>
      <c r="M109" s="20"/>
      <c r="N109" s="19"/>
      <c r="O109" s="23"/>
    </row>
    <row r="110" spans="1:15">
      <c r="A110" s="19">
        <v>9</v>
      </c>
      <c r="B110" s="20"/>
      <c r="C110" s="21"/>
      <c r="D110" s="22"/>
      <c r="E110" s="23"/>
      <c r="F110" s="24"/>
      <c r="G110" s="19"/>
      <c r="H110" s="19"/>
      <c r="J110" s="20"/>
      <c r="K110" s="19"/>
      <c r="L110" s="23"/>
      <c r="M110" s="20"/>
      <c r="N110" s="19"/>
      <c r="O110" s="23"/>
    </row>
    <row r="111" spans="1:15">
      <c r="A111" s="19">
        <v>10</v>
      </c>
      <c r="B111" s="20"/>
      <c r="C111" s="21"/>
      <c r="D111" s="22"/>
      <c r="E111" s="23"/>
      <c r="F111" s="24"/>
      <c r="G111" s="19"/>
      <c r="H111" s="19"/>
      <c r="J111" s="20"/>
      <c r="K111" s="19"/>
      <c r="L111" s="23"/>
      <c r="M111" s="20"/>
      <c r="N111" s="19"/>
      <c r="O111" s="23"/>
    </row>
    <row r="112" spans="1:15">
      <c r="A112" s="19">
        <v>11</v>
      </c>
      <c r="B112" s="20"/>
      <c r="C112" s="21"/>
      <c r="D112" s="22"/>
      <c r="E112" s="23"/>
      <c r="F112" s="24"/>
      <c r="G112" s="19"/>
      <c r="H112" s="19"/>
      <c r="J112" s="20"/>
      <c r="K112" s="19"/>
      <c r="L112" s="23"/>
      <c r="M112" s="20"/>
      <c r="N112" s="19"/>
      <c r="O112" s="23"/>
    </row>
    <row r="113" ht="30" customHeight="1" spans="1:15">
      <c r="A113" s="12" t="s">
        <v>85</v>
      </c>
      <c r="B113" s="13"/>
      <c r="C113" s="14"/>
      <c r="D113" s="15">
        <f t="shared" ref="D113:H113" si="14">SUM(D114:D124)</f>
        <v>0</v>
      </c>
      <c r="E113" s="16">
        <f t="shared" si="14"/>
        <v>0</v>
      </c>
      <c r="F113" s="14"/>
      <c r="G113" s="14"/>
      <c r="H113" s="16">
        <f t="shared" si="14"/>
        <v>0</v>
      </c>
      <c r="J113" s="14"/>
      <c r="K113" s="14"/>
      <c r="L113" s="16">
        <f>SUM(L114:L124)</f>
        <v>0</v>
      </c>
      <c r="M113" s="14"/>
      <c r="N113" s="14"/>
      <c r="O113" s="16"/>
    </row>
    <row r="114" spans="1:15">
      <c r="A114" s="19">
        <v>1</v>
      </c>
      <c r="B114" s="20"/>
      <c r="C114" s="21"/>
      <c r="D114" s="22"/>
      <c r="E114" s="23"/>
      <c r="F114" s="24"/>
      <c r="G114" s="19"/>
      <c r="H114" s="19"/>
      <c r="J114" s="40"/>
      <c r="K114" s="19"/>
      <c r="L114" s="23"/>
      <c r="M114" s="40"/>
      <c r="N114" s="19"/>
      <c r="O114" s="23"/>
    </row>
    <row r="115" spans="1:15">
      <c r="A115" s="19">
        <v>2</v>
      </c>
      <c r="B115" s="20"/>
      <c r="C115" s="21"/>
      <c r="D115" s="22"/>
      <c r="E115" s="23"/>
      <c r="F115" s="19"/>
      <c r="G115" s="19"/>
      <c r="H115" s="19"/>
      <c r="J115" s="20"/>
      <c r="K115" s="19"/>
      <c r="L115" s="23"/>
      <c r="M115" s="20"/>
      <c r="N115" s="19"/>
      <c r="O115" s="23"/>
    </row>
    <row r="116" spans="1:15">
      <c r="A116" s="19">
        <v>3</v>
      </c>
      <c r="B116" s="20"/>
      <c r="C116" s="21"/>
      <c r="D116" s="22"/>
      <c r="E116" s="23"/>
      <c r="F116" s="24"/>
      <c r="G116" s="19"/>
      <c r="H116" s="19"/>
      <c r="J116" s="20"/>
      <c r="K116" s="19"/>
      <c r="L116" s="23"/>
      <c r="M116" s="20"/>
      <c r="N116" s="19"/>
      <c r="O116" s="23"/>
    </row>
    <row r="117" spans="1:15">
      <c r="A117" s="19">
        <v>4</v>
      </c>
      <c r="B117" s="20"/>
      <c r="C117" s="21"/>
      <c r="D117" s="22"/>
      <c r="E117" s="23"/>
      <c r="F117" s="24"/>
      <c r="G117" s="19"/>
      <c r="H117" s="19"/>
      <c r="J117" s="20"/>
      <c r="K117" s="19"/>
      <c r="L117" s="23"/>
      <c r="M117" s="20"/>
      <c r="N117" s="19"/>
      <c r="O117" s="23"/>
    </row>
    <row r="118" spans="1:15">
      <c r="A118" s="19">
        <v>5</v>
      </c>
      <c r="B118" s="20"/>
      <c r="C118" s="21"/>
      <c r="D118" s="22"/>
      <c r="E118" s="23"/>
      <c r="F118" s="24"/>
      <c r="G118" s="19"/>
      <c r="H118" s="19"/>
      <c r="J118" s="20"/>
      <c r="K118" s="19"/>
      <c r="L118" s="23"/>
      <c r="M118" s="20"/>
      <c r="N118" s="19"/>
      <c r="O118" s="23"/>
    </row>
    <row r="119" spans="1:15">
      <c r="A119" s="19">
        <v>6</v>
      </c>
      <c r="B119" s="20"/>
      <c r="C119" s="21"/>
      <c r="D119" s="22"/>
      <c r="E119" s="23"/>
      <c r="F119" s="24"/>
      <c r="G119" s="19"/>
      <c r="H119" s="19"/>
      <c r="J119" s="20"/>
      <c r="K119" s="19"/>
      <c r="L119" s="23"/>
      <c r="M119" s="20"/>
      <c r="N119" s="19"/>
      <c r="O119" s="23"/>
    </row>
    <row r="120" spans="1:15">
      <c r="A120" s="19">
        <v>7</v>
      </c>
      <c r="B120" s="20"/>
      <c r="C120" s="21"/>
      <c r="D120" s="22"/>
      <c r="E120" s="23"/>
      <c r="F120" s="24"/>
      <c r="G120" s="19"/>
      <c r="H120" s="19"/>
      <c r="J120" s="20"/>
      <c r="K120" s="19"/>
      <c r="L120" s="23"/>
      <c r="M120" s="20"/>
      <c r="N120" s="19"/>
      <c r="O120" s="23"/>
    </row>
    <row r="121" spans="1:15">
      <c r="A121" s="19">
        <v>8</v>
      </c>
      <c r="B121" s="20"/>
      <c r="C121" s="21"/>
      <c r="D121" s="22"/>
      <c r="E121" s="23"/>
      <c r="F121" s="24"/>
      <c r="G121" s="19"/>
      <c r="H121" s="19"/>
      <c r="J121" s="20"/>
      <c r="K121" s="19"/>
      <c r="L121" s="23"/>
      <c r="M121" s="20"/>
      <c r="N121" s="19"/>
      <c r="O121" s="23"/>
    </row>
    <row r="122" spans="1:15">
      <c r="A122" s="19">
        <v>9</v>
      </c>
      <c r="B122" s="20"/>
      <c r="C122" s="21"/>
      <c r="D122" s="22"/>
      <c r="E122" s="23"/>
      <c r="F122" s="24"/>
      <c r="G122" s="19"/>
      <c r="H122" s="19"/>
      <c r="J122" s="20"/>
      <c r="K122" s="19"/>
      <c r="L122" s="23"/>
      <c r="M122" s="20"/>
      <c r="N122" s="19"/>
      <c r="O122" s="23"/>
    </row>
    <row r="123" spans="1:15">
      <c r="A123" s="19">
        <v>10</v>
      </c>
      <c r="B123" s="20"/>
      <c r="C123" s="21"/>
      <c r="D123" s="22"/>
      <c r="E123" s="23"/>
      <c r="F123" s="24"/>
      <c r="G123" s="19"/>
      <c r="H123" s="19"/>
      <c r="J123" s="20"/>
      <c r="K123" s="19"/>
      <c r="L123" s="23"/>
      <c r="M123" s="20"/>
      <c r="N123" s="19"/>
      <c r="O123" s="23"/>
    </row>
    <row r="124" spans="1:15">
      <c r="A124" s="19">
        <v>11</v>
      </c>
      <c r="B124" s="20"/>
      <c r="C124" s="21"/>
      <c r="D124" s="22"/>
      <c r="E124" s="23"/>
      <c r="F124" s="24"/>
      <c r="G124" s="19"/>
      <c r="H124" s="19"/>
      <c r="J124" s="20"/>
      <c r="K124" s="19"/>
      <c r="L124" s="23"/>
      <c r="M124" s="20"/>
      <c r="N124" s="19"/>
      <c r="O124" s="23"/>
    </row>
    <row r="125" ht="30" customHeight="1" spans="1:15">
      <c r="A125" s="12" t="s">
        <v>86</v>
      </c>
      <c r="B125" s="13"/>
      <c r="C125" s="14"/>
      <c r="D125" s="15">
        <f t="shared" ref="D125:H125" si="15">SUM(D126:D136)</f>
        <v>0</v>
      </c>
      <c r="E125" s="16">
        <f t="shared" si="15"/>
        <v>0</v>
      </c>
      <c r="F125" s="14"/>
      <c r="G125" s="14"/>
      <c r="H125" s="16">
        <f t="shared" si="15"/>
        <v>0</v>
      </c>
      <c r="J125" s="14"/>
      <c r="K125" s="14"/>
      <c r="L125" s="16">
        <f>SUM(L126:L136)</f>
        <v>0</v>
      </c>
      <c r="M125" s="14"/>
      <c r="N125" s="14"/>
      <c r="O125" s="16"/>
    </row>
    <row r="126" spans="1:15">
      <c r="A126" s="19">
        <v>1</v>
      </c>
      <c r="B126" s="20"/>
      <c r="C126" s="21"/>
      <c r="D126" s="22"/>
      <c r="E126" s="23"/>
      <c r="F126" s="24"/>
      <c r="G126" s="19"/>
      <c r="H126" s="19"/>
      <c r="J126" s="40"/>
      <c r="K126" s="19"/>
      <c r="L126" s="23"/>
      <c r="M126" s="40"/>
      <c r="N126" s="19"/>
      <c r="O126" s="23"/>
    </row>
    <row r="127" spans="1:15">
      <c r="A127" s="19">
        <v>2</v>
      </c>
      <c r="B127" s="20"/>
      <c r="C127" s="21"/>
      <c r="D127" s="22"/>
      <c r="E127" s="23"/>
      <c r="F127" s="19"/>
      <c r="G127" s="19"/>
      <c r="H127" s="19"/>
      <c r="J127" s="20"/>
      <c r="K127" s="19"/>
      <c r="L127" s="23"/>
      <c r="M127" s="20"/>
      <c r="N127" s="19"/>
      <c r="O127" s="23"/>
    </row>
    <row r="128" spans="1:15">
      <c r="A128" s="19">
        <v>3</v>
      </c>
      <c r="B128" s="20"/>
      <c r="C128" s="21"/>
      <c r="D128" s="22"/>
      <c r="E128" s="23"/>
      <c r="F128" s="24"/>
      <c r="G128" s="19"/>
      <c r="H128" s="19"/>
      <c r="J128" s="20"/>
      <c r="K128" s="19"/>
      <c r="L128" s="23"/>
      <c r="M128" s="20"/>
      <c r="N128" s="19"/>
      <c r="O128" s="23"/>
    </row>
    <row r="129" spans="1:15">
      <c r="A129" s="19">
        <v>4</v>
      </c>
      <c r="B129" s="20"/>
      <c r="C129" s="21"/>
      <c r="D129" s="22"/>
      <c r="E129" s="23"/>
      <c r="F129" s="24"/>
      <c r="G129" s="19"/>
      <c r="H129" s="19"/>
      <c r="J129" s="20"/>
      <c r="K129" s="19"/>
      <c r="L129" s="23"/>
      <c r="M129" s="20"/>
      <c r="N129" s="19"/>
      <c r="O129" s="23"/>
    </row>
    <row r="130" spans="1:15">
      <c r="A130" s="19">
        <v>5</v>
      </c>
      <c r="B130" s="20"/>
      <c r="C130" s="21"/>
      <c r="D130" s="22"/>
      <c r="E130" s="23"/>
      <c r="F130" s="24"/>
      <c r="G130" s="19"/>
      <c r="H130" s="19"/>
      <c r="J130" s="20"/>
      <c r="K130" s="19"/>
      <c r="L130" s="23"/>
      <c r="M130" s="20"/>
      <c r="N130" s="19"/>
      <c r="O130" s="23"/>
    </row>
    <row r="131" spans="1:15">
      <c r="A131" s="19">
        <v>6</v>
      </c>
      <c r="B131" s="20"/>
      <c r="C131" s="21"/>
      <c r="D131" s="22"/>
      <c r="E131" s="23"/>
      <c r="F131" s="24"/>
      <c r="G131" s="19"/>
      <c r="H131" s="19"/>
      <c r="J131" s="20"/>
      <c r="K131" s="19"/>
      <c r="L131" s="23"/>
      <c r="M131" s="20"/>
      <c r="N131" s="19"/>
      <c r="O131" s="23"/>
    </row>
    <row r="132" spans="1:15">
      <c r="A132" s="19">
        <v>7</v>
      </c>
      <c r="B132" s="20"/>
      <c r="C132" s="21"/>
      <c r="D132" s="22"/>
      <c r="E132" s="23"/>
      <c r="F132" s="24"/>
      <c r="G132" s="19"/>
      <c r="H132" s="19"/>
      <c r="J132" s="20"/>
      <c r="K132" s="19"/>
      <c r="L132" s="23"/>
      <c r="M132" s="20"/>
      <c r="N132" s="19"/>
      <c r="O132" s="23"/>
    </row>
    <row r="133" spans="1:15">
      <c r="A133" s="19">
        <v>8</v>
      </c>
      <c r="B133" s="20"/>
      <c r="C133" s="21"/>
      <c r="D133" s="22"/>
      <c r="E133" s="23"/>
      <c r="F133" s="24"/>
      <c r="G133" s="19"/>
      <c r="H133" s="19"/>
      <c r="J133" s="20"/>
      <c r="K133" s="19"/>
      <c r="L133" s="23"/>
      <c r="M133" s="20"/>
      <c r="N133" s="19"/>
      <c r="O133" s="23"/>
    </row>
    <row r="134" spans="1:15">
      <c r="A134" s="19">
        <v>9</v>
      </c>
      <c r="B134" s="20"/>
      <c r="C134" s="21"/>
      <c r="D134" s="22"/>
      <c r="E134" s="23"/>
      <c r="F134" s="24"/>
      <c r="G134" s="19"/>
      <c r="H134" s="19"/>
      <c r="J134" s="20"/>
      <c r="K134" s="19"/>
      <c r="L134" s="23"/>
      <c r="M134" s="20"/>
      <c r="N134" s="19"/>
      <c r="O134" s="23"/>
    </row>
    <row r="135" spans="1:15">
      <c r="A135" s="19">
        <v>10</v>
      </c>
      <c r="B135" s="20"/>
      <c r="C135" s="21"/>
      <c r="D135" s="22"/>
      <c r="E135" s="23"/>
      <c r="F135" s="24"/>
      <c r="G135" s="19"/>
      <c r="H135" s="19"/>
      <c r="J135" s="20"/>
      <c r="K135" s="19"/>
      <c r="L135" s="23"/>
      <c r="M135" s="20"/>
      <c r="N135" s="19"/>
      <c r="O135" s="23"/>
    </row>
    <row r="136" spans="1:15">
      <c r="A136" s="19">
        <v>11</v>
      </c>
      <c r="B136" s="20"/>
      <c r="C136" s="21"/>
      <c r="D136" s="22"/>
      <c r="E136" s="23"/>
      <c r="F136" s="24"/>
      <c r="G136" s="19"/>
      <c r="H136" s="19"/>
      <c r="J136" s="20"/>
      <c r="K136" s="19"/>
      <c r="L136" s="23"/>
      <c r="M136" s="20"/>
      <c r="N136" s="19"/>
      <c r="O136" s="23"/>
    </row>
    <row r="137" ht="30" customHeight="1" spans="1:15">
      <c r="A137" s="12" t="s">
        <v>87</v>
      </c>
      <c r="B137" s="13"/>
      <c r="C137" s="14"/>
      <c r="D137" s="15">
        <f t="shared" ref="D137:H137" si="16">SUM(D138:D148)</f>
        <v>0</v>
      </c>
      <c r="E137" s="16">
        <f t="shared" si="16"/>
        <v>0</v>
      </c>
      <c r="F137" s="14"/>
      <c r="G137" s="14"/>
      <c r="H137" s="16">
        <f t="shared" si="16"/>
        <v>0</v>
      </c>
      <c r="J137" s="14"/>
      <c r="K137" s="14"/>
      <c r="L137" s="16">
        <f>SUM(L138:L148)</f>
        <v>0</v>
      </c>
      <c r="M137" s="14"/>
      <c r="N137" s="14"/>
      <c r="O137" s="16"/>
    </row>
    <row r="138" spans="1:15">
      <c r="A138" s="19">
        <v>1</v>
      </c>
      <c r="B138" s="20"/>
      <c r="C138" s="21"/>
      <c r="D138" s="22"/>
      <c r="E138" s="23"/>
      <c r="F138" s="24"/>
      <c r="G138" s="19"/>
      <c r="H138" s="19"/>
      <c r="J138" s="40"/>
      <c r="K138" s="19"/>
      <c r="L138" s="23"/>
      <c r="M138" s="40"/>
      <c r="N138" s="19"/>
      <c r="O138" s="23"/>
    </row>
    <row r="139" spans="1:15">
      <c r="A139" s="19">
        <v>2</v>
      </c>
      <c r="B139" s="20"/>
      <c r="C139" s="21"/>
      <c r="D139" s="22"/>
      <c r="E139" s="23"/>
      <c r="F139" s="19"/>
      <c r="G139" s="19"/>
      <c r="H139" s="19"/>
      <c r="J139" s="20"/>
      <c r="K139" s="19"/>
      <c r="L139" s="23"/>
      <c r="M139" s="20"/>
      <c r="N139" s="19"/>
      <c r="O139" s="23"/>
    </row>
    <row r="140" spans="1:15">
      <c r="A140" s="19">
        <v>3</v>
      </c>
      <c r="B140" s="20"/>
      <c r="C140" s="21"/>
      <c r="D140" s="22"/>
      <c r="E140" s="23"/>
      <c r="F140" s="24"/>
      <c r="G140" s="19"/>
      <c r="H140" s="19"/>
      <c r="J140" s="20"/>
      <c r="K140" s="19"/>
      <c r="L140" s="23"/>
      <c r="M140" s="20"/>
      <c r="N140" s="19"/>
      <c r="O140" s="23"/>
    </row>
    <row r="141" spans="1:15">
      <c r="A141" s="19">
        <v>4</v>
      </c>
      <c r="B141" s="20"/>
      <c r="C141" s="21"/>
      <c r="D141" s="22"/>
      <c r="E141" s="23"/>
      <c r="F141" s="24"/>
      <c r="G141" s="19"/>
      <c r="H141" s="19"/>
      <c r="J141" s="20"/>
      <c r="K141" s="19"/>
      <c r="L141" s="23"/>
      <c r="M141" s="20"/>
      <c r="N141" s="19"/>
      <c r="O141" s="23"/>
    </row>
    <row r="142" spans="1:15">
      <c r="A142" s="19">
        <v>5</v>
      </c>
      <c r="B142" s="20"/>
      <c r="C142" s="21"/>
      <c r="D142" s="22"/>
      <c r="E142" s="23"/>
      <c r="F142" s="24"/>
      <c r="G142" s="19"/>
      <c r="H142" s="19"/>
      <c r="J142" s="20"/>
      <c r="K142" s="19"/>
      <c r="L142" s="23"/>
      <c r="M142" s="20"/>
      <c r="N142" s="19"/>
      <c r="O142" s="23"/>
    </row>
    <row r="143" spans="1:15">
      <c r="A143" s="19">
        <v>6</v>
      </c>
      <c r="B143" s="20"/>
      <c r="C143" s="21"/>
      <c r="D143" s="22"/>
      <c r="E143" s="23"/>
      <c r="F143" s="24"/>
      <c r="G143" s="19"/>
      <c r="H143" s="19"/>
      <c r="J143" s="20"/>
      <c r="K143" s="19"/>
      <c r="L143" s="23"/>
      <c r="M143" s="20"/>
      <c r="N143" s="19"/>
      <c r="O143" s="23"/>
    </row>
    <row r="144" spans="1:15">
      <c r="A144" s="19">
        <v>7</v>
      </c>
      <c r="B144" s="20"/>
      <c r="C144" s="21"/>
      <c r="D144" s="22"/>
      <c r="E144" s="23"/>
      <c r="F144" s="24"/>
      <c r="G144" s="19"/>
      <c r="H144" s="19"/>
      <c r="J144" s="20"/>
      <c r="K144" s="19"/>
      <c r="L144" s="23"/>
      <c r="M144" s="20"/>
      <c r="N144" s="19"/>
      <c r="O144" s="23"/>
    </row>
    <row r="145" spans="1:15">
      <c r="A145" s="19">
        <v>8</v>
      </c>
      <c r="B145" s="20"/>
      <c r="C145" s="21"/>
      <c r="D145" s="22"/>
      <c r="E145" s="23"/>
      <c r="F145" s="24"/>
      <c r="G145" s="19"/>
      <c r="H145" s="19"/>
      <c r="J145" s="20"/>
      <c r="K145" s="19"/>
      <c r="L145" s="23"/>
      <c r="M145" s="20"/>
      <c r="N145" s="19"/>
      <c r="O145" s="23"/>
    </row>
    <row r="146" spans="1:15">
      <c r="A146" s="19">
        <v>9</v>
      </c>
      <c r="B146" s="20"/>
      <c r="C146" s="21"/>
      <c r="D146" s="22"/>
      <c r="E146" s="23"/>
      <c r="F146" s="24"/>
      <c r="G146" s="19"/>
      <c r="H146" s="19"/>
      <c r="J146" s="20"/>
      <c r="K146" s="19"/>
      <c r="L146" s="23"/>
      <c r="M146" s="20"/>
      <c r="N146" s="19"/>
      <c r="O146" s="23"/>
    </row>
    <row r="147" spans="1:15">
      <c r="A147" s="19">
        <v>10</v>
      </c>
      <c r="B147" s="20"/>
      <c r="C147" s="21"/>
      <c r="D147" s="22"/>
      <c r="E147" s="23"/>
      <c r="F147" s="24"/>
      <c r="G147" s="19"/>
      <c r="H147" s="19"/>
      <c r="J147" s="20"/>
      <c r="K147" s="19"/>
      <c r="L147" s="23"/>
      <c r="M147" s="20"/>
      <c r="N147" s="19"/>
      <c r="O147" s="23"/>
    </row>
    <row r="148" spans="1:15">
      <c r="A148" s="19">
        <v>11</v>
      </c>
      <c r="B148" s="20"/>
      <c r="C148" s="21"/>
      <c r="D148" s="22"/>
      <c r="E148" s="23"/>
      <c r="F148" s="24"/>
      <c r="G148" s="19"/>
      <c r="H148" s="19"/>
      <c r="J148" s="20"/>
      <c r="K148" s="19"/>
      <c r="L148" s="23"/>
      <c r="M148" s="20"/>
      <c r="N148" s="19"/>
      <c r="O148" s="23"/>
    </row>
  </sheetData>
  <mergeCells count="13">
    <mergeCell ref="C2:H2"/>
    <mergeCell ref="G3:H3"/>
    <mergeCell ref="A2:A4"/>
    <mergeCell ref="B3:B4"/>
    <mergeCell ref="C3:C4"/>
    <mergeCell ref="D3:D4"/>
    <mergeCell ref="E3:E4"/>
    <mergeCell ref="F3:F4"/>
    <mergeCell ref="O2:O4"/>
    <mergeCell ref="J2:N3"/>
    <mergeCell ref="Q2:R3"/>
    <mergeCell ref="S2:T3"/>
    <mergeCell ref="U2:W3"/>
  </mergeCells>
  <dataValidations count="7">
    <dataValidation type="list" allowBlank="1" showInputMessage="1" showErrorMessage="1" sqref="G6 G10 G18 G42 G12:G16 G24:G28 G36:G40 G50:G51 G56:G64 G66:G76 G78:G88 G90:G100 G102:G112 G114:G124 G126:G136 G138:G148 N13:N16 N22:N23 N26:N28 N30:N40 N42:N52 N54:N64 N66:N76 N78:N88 N90:N100 N102:N112 N114:N124 N126:N136 N138:N148">
      <formula1>"王,娟,敏,蕾,佩,松"</formula1>
    </dataValidation>
    <dataValidation type="list" allowBlank="1" showInputMessage="1" showErrorMessage="1" sqref="G11 G52 G7:G9 G19:G23 G30:G35 G43:G49 G54:G55 M6:M12 M18:M25">
      <formula1>"王,娟,蕾,敏,佩,松"</formula1>
    </dataValidation>
    <dataValidation type="list" allowBlank="1" showInputMessage="1" showErrorMessage="1" sqref="F16 F28 F64 F76 F88 F100 F112 F124 F136 F148">
      <formula1>"小猪,蚂蚁,BNB,途家,闲鱼"</formula1>
    </dataValidation>
    <dataValidation type="list" allowBlank="1" showInputMessage="1" sqref="F18 F21 F42 F6:F15 F23:F27 F36:F40 F50:F51 F56:F63 F66:F75 F78:F87 F90:F99 F102:F111 F114:F123 F126:F135 F138:F147">
      <formula1>"小猪,蚂蚁,BNB,途家,闲鱼,线下"</formula1>
    </dataValidation>
    <dataValidation type="list" allowBlank="1" showInputMessage="1" sqref="F22 F30 F52 F55 F19:F20 F43:F49">
      <formula1>"小猪,蚂蚁,BNB,途家,闲鱼"</formula1>
    </dataValidation>
    <dataValidation type="list" allowBlank="1" showInputMessage="1" showErrorMessage="1" sqref="F54 F31:F35">
      <formula1>"小猪,蚂蚁,BNB,途家,闲鱼,线下"</formula1>
    </dataValidation>
    <dataValidation type="list" allowBlank="1" showInputMessage="1" showErrorMessage="1" sqref="K6:K16 K18:K28 K30:K40 K42:K52 K54:K64 K66:K76 K78:K88 K90:K100 K102:K112 K114:K124 K126:K136 K138:K148">
      <formula1>"保洁,管理,杂物,维修,床品,其他"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龙湖 </vt:lpstr>
      <vt:lpstr>顶峰</vt:lpstr>
      <vt:lpstr>颐和</vt:lpstr>
      <vt:lpstr>锦苑</vt:lpstr>
      <vt:lpstr>五里墩</vt:lpstr>
      <vt:lpstr>九里堤</vt:lpstr>
      <vt:lpstr>育秀</vt:lpstr>
      <vt:lpstr>大隐</vt:lpstr>
      <vt:lpstr>龙猫</vt:lpstr>
      <vt:lpstr>金琴</vt:lpstr>
      <vt:lpstr>营康路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NTKO</cp:lastModifiedBy>
  <cp:revision>1</cp:revision>
  <dcterms:created xsi:type="dcterms:W3CDTF">2012-06-06T01:30:27Z</dcterms:created>
  <dcterms:modified xsi:type="dcterms:W3CDTF">2018-04-29T13:11:10Z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