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模拟试题汇总\模拟试题汇总\excel\"/>
    </mc:Choice>
  </mc:AlternateContent>
  <xr:revisionPtr revIDLastSave="0" documentId="13_ncr:1_{A23E1A4D-4136-483C-8CF3-F16A05110EF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第1题" sheetId="14" r:id="rId1"/>
    <sheet name="第2题" sheetId="15" r:id="rId2"/>
    <sheet name="第3题" sheetId="2" r:id="rId3"/>
    <sheet name="第4题" sheetId="3" r:id="rId4"/>
    <sheet name="第5题" sheetId="5" r:id="rId5"/>
    <sheet name="第6题" sheetId="7" r:id="rId6"/>
    <sheet name="第7题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___jin01">#REF!</definedName>
    <definedName name="_____sj1">[1]第1套!$A$1:$C$73</definedName>
    <definedName name="_____sj2">[2]第2题解答!$A$1:$D$251</definedName>
    <definedName name="____jin01">#REF!</definedName>
    <definedName name="____sj1">[1]第1套!$A$1:$C$73</definedName>
    <definedName name="____sj2">[2]第2题解答!$A$1:$D$251</definedName>
    <definedName name="____sj3">[3]第2题!$A$1:$D$198</definedName>
    <definedName name="____sj5">[4]第1套!$A$1:$C$73</definedName>
    <definedName name="___jin01">#REF!</definedName>
    <definedName name="___sj1">[1]第1套!$A$1:$C$73</definedName>
    <definedName name="___sj2">[2]第2题解答!$A$1:$D$251</definedName>
    <definedName name="___sj3">[3]第2题!$A$1:$D$198</definedName>
    <definedName name="___sj5">[4]第1套!$A$1:$C$73</definedName>
    <definedName name="__jin01">#REF!</definedName>
    <definedName name="__sj1">[5]第1套!$A$1:$C$73</definedName>
    <definedName name="__sj2">[5]第2套!$A$1:$D$251</definedName>
    <definedName name="__sj3">[3]第2题!$A$1:$D$198</definedName>
    <definedName name="__sj5">[4]第1套!$A$1:$C$73</definedName>
    <definedName name="_1a1_">#REF!</definedName>
    <definedName name="_2a2_">#REF!</definedName>
    <definedName name="_jin01">#REF!</definedName>
    <definedName name="_sj1">[5]第1套!$A$1:$C$73</definedName>
    <definedName name="_sj2">[5]第2套!$A$1:$D$251</definedName>
    <definedName name="_sj3">[6]第2题!$A$1:$D$198</definedName>
    <definedName name="_sj5">[4]第1套!$A$1:$C$73</definedName>
    <definedName name="aaa">OFFSET([7]第4题!XFC1,0,-1,3,1)</definedName>
    <definedName name="ahzixingche">#REF!</definedName>
    <definedName name="Average">'[8]Simulation (2)'!$K$3:$N$3</definedName>
    <definedName name="Biao1">#REF!</definedName>
    <definedName name="Biao2">#REF!</definedName>
    <definedName name="Biao3">#REF!</definedName>
    <definedName name="Biao4">#REF!</definedName>
    <definedName name="BudgetTab" localSheetId="6">#REF!</definedName>
    <definedName name="BudgetTab">#REF!</definedName>
    <definedName name="dd">#REF!</definedName>
    <definedName name="kk">#REF!</definedName>
    <definedName name="MaintTable">[9]第3题!#REF!</definedName>
    <definedName name="OrderQuantity">'[8]Simulation (2)'!$D$3</definedName>
    <definedName name="sj">#REF!</definedName>
    <definedName name="solver_adj" localSheetId="0" hidden="1">第1题!$G$4</definedName>
    <definedName name="solver_adj" localSheetId="1" hidden="1">第2题!$H$8:$H$9</definedName>
    <definedName name="solver_adj" localSheetId="6" hidden="1">第7题!#REF!</definedName>
    <definedName name="solver_cvg" localSheetId="0" hidden="1">0.0001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drv" localSheetId="0" hidden="1">2</definedName>
    <definedName name="solver_drv" localSheetId="1" hidden="1">1</definedName>
    <definedName name="solver_drv" localSheetId="5" hidden="1">1</definedName>
    <definedName name="solver_drv" localSheetId="6" hidden="1">1</definedName>
    <definedName name="solver_eng" localSheetId="0" hidden="1">1</definedName>
    <definedName name="solver_eng" localSheetId="1" hidden="1">1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5" hidden="1">1</definedName>
    <definedName name="solver_est" localSheetId="6" hidden="1">1</definedName>
    <definedName name="solver_itr" localSheetId="0" hidden="1">2147483647</definedName>
    <definedName name="solver_itr" localSheetId="1" hidden="1">100</definedName>
    <definedName name="solver_itr" localSheetId="5" hidden="1">2147483647</definedName>
    <definedName name="solver_itr" localSheetId="6" hidden="1">100</definedName>
    <definedName name="solver_lhs1" localSheetId="0" hidden="1">第1题!$G$1</definedName>
    <definedName name="solver_lhs1" localSheetId="5" hidden="1">第6题!$G$4:$G$5</definedName>
    <definedName name="solver_lhs1" localSheetId="6" hidden="1">第7题!#REF!</definedName>
    <definedName name="solver_lhs2" localSheetId="0" hidden="1">第1题!$G$1</definedName>
    <definedName name="solver_lhs2" localSheetId="5" hidden="1">第6题!$G$4:$G$5</definedName>
    <definedName name="solver_lhs3" localSheetId="5" hidden="1">第6题!$G$4:$G$5</definedName>
    <definedName name="solver_lhs4" localSheetId="5" hidden="1">第6题!$G$4:$G$5</definedName>
    <definedName name="solver_lhs5" localSheetId="5" hidden="1">第6题!$E$8</definedName>
    <definedName name="solver_lhs6" localSheetId="5" hidden="1">第6题!$G$4:$G$5</definedName>
    <definedName name="solver_lin" localSheetId="0" hidden="1">0</definedName>
    <definedName name="solver_lin" localSheetId="1" hidden="1">2</definedName>
    <definedName name="solver_lin" localSheetId="5" hidden="1">2</definedName>
    <definedName name="solver_lin" localSheetId="6" hidden="1">2</definedName>
    <definedName name="solver_mip" localSheetId="0" hidden="1">2147483647</definedName>
    <definedName name="solver_mip" localSheetId="1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5" hidden="1">2</definedName>
    <definedName name="solver_neg" localSheetId="0" hidden="1">1</definedName>
    <definedName name="solver_neg" localSheetId="1" hidden="1">2</definedName>
    <definedName name="solver_neg" localSheetId="5" hidden="1">2</definedName>
    <definedName name="solver_neg" localSheetId="6" hidden="1">2</definedName>
    <definedName name="solver_nod" localSheetId="0" hidden="1">2147483647</definedName>
    <definedName name="solver_nod" localSheetId="1" hidden="1">2147483647</definedName>
    <definedName name="solver_nod" localSheetId="5" hidden="1">2147483647</definedName>
    <definedName name="solver_num" localSheetId="0" hidden="1">2</definedName>
    <definedName name="solver_num" localSheetId="1" hidden="1">0</definedName>
    <definedName name="solver_num" localSheetId="5" hidden="1">0</definedName>
    <definedName name="solver_num" localSheetId="6" hidden="1">1</definedName>
    <definedName name="solver_nwt" localSheetId="0" hidden="1">1</definedName>
    <definedName name="solver_nwt" localSheetId="1" hidden="1">1</definedName>
    <definedName name="solver_nwt" localSheetId="5" hidden="1">1</definedName>
    <definedName name="solver_nwt" localSheetId="6" hidden="1">1</definedName>
    <definedName name="solver_opt" localSheetId="0" hidden="1">第1题!$G$5</definedName>
    <definedName name="solver_opt" localSheetId="1" hidden="1">第2题!$H$10</definedName>
    <definedName name="solver_opt" localSheetId="6" hidden="1">第7题!#REF!</definedName>
    <definedName name="solver_pre" localSheetId="0" hidden="1">0.000001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rbv" localSheetId="0" hidden="1">2</definedName>
    <definedName name="solver_rbv" localSheetId="1" hidden="1">1</definedName>
    <definedName name="solver_rbv" localSheetId="5" hidden="1">1</definedName>
    <definedName name="solver_rel1" localSheetId="0" hidden="1">1</definedName>
    <definedName name="solver_rel1" localSheetId="5" hidden="1">2</definedName>
    <definedName name="solver_rel1" localSheetId="6" hidden="1">1</definedName>
    <definedName name="solver_rel2" localSheetId="0" hidden="1">3</definedName>
    <definedName name="solver_rel2" localSheetId="5" hidden="1">2</definedName>
    <definedName name="solver_rel3" localSheetId="5" hidden="1">2</definedName>
    <definedName name="solver_rel4" localSheetId="5" hidden="1">2</definedName>
    <definedName name="solver_rel5" localSheetId="5" hidden="1">3</definedName>
    <definedName name="solver_rel6" localSheetId="5" hidden="1">2</definedName>
    <definedName name="solver_rhs1" localSheetId="0" hidden="1">1</definedName>
    <definedName name="solver_rhs1" localSheetId="5" hidden="1">第6题!$H$4:$H$5</definedName>
    <definedName name="solver_rhs1" localSheetId="6" hidden="1">3</definedName>
    <definedName name="solver_rhs2" localSheetId="0" hidden="1">0</definedName>
    <definedName name="solver_rhs2" localSheetId="5" hidden="1">第6题!$H$4:$H$5</definedName>
    <definedName name="solver_rhs3" localSheetId="5" hidden="1">第6题!$H$4:$H$5</definedName>
    <definedName name="solver_rhs4" localSheetId="5" hidden="1">第6题!$H$4:$H$5</definedName>
    <definedName name="solver_rhs5" localSheetId="5" hidden="1">0</definedName>
    <definedName name="solver_rhs6" localSheetId="5" hidden="1">第6题!$H$4:$H$5</definedName>
    <definedName name="solver_rlx" localSheetId="0" hidden="1">2</definedName>
    <definedName name="solver_rlx" localSheetId="1" hidden="1">1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5" hidden="1">0</definedName>
    <definedName name="solver_scl" localSheetId="0" hidden="1">2</definedName>
    <definedName name="solver_scl" localSheetId="1" hidden="1">2</definedName>
    <definedName name="solver_scl" localSheetId="5" hidden="1">1</definedName>
    <definedName name="solver_scl" localSheetId="6" hidden="1">2</definedName>
    <definedName name="solver_sho" localSheetId="0" hidden="1">2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5" hidden="1">100</definedName>
    <definedName name="solver_tim" localSheetId="0" hidden="1">2147483647</definedName>
    <definedName name="solver_tim" localSheetId="1" hidden="1">100</definedName>
    <definedName name="solver_tim" localSheetId="5" hidden="1">2147483647</definedName>
    <definedName name="solver_tim" localSheetId="6" hidden="1">100</definedName>
    <definedName name="solver_tol" localSheetId="0" hidden="1">0.01</definedName>
    <definedName name="solver_tol" localSheetId="1" hidden="1">0.05</definedName>
    <definedName name="solver_tol" localSheetId="5" hidden="1">0.01</definedName>
    <definedName name="solver_tol" localSheetId="6" hidden="1">0.05</definedName>
    <definedName name="solver_typ" localSheetId="0" hidden="1">2</definedName>
    <definedName name="solver_typ" localSheetId="1" hidden="1">2</definedName>
    <definedName name="solver_typ" localSheetId="5" hidden="1">1</definedName>
    <definedName name="solver_typ" localSheetId="6" hidden="1">1</definedName>
    <definedName name="solver_val" localSheetId="0" hidden="1">0</definedName>
    <definedName name="solver_val" localSheetId="1" hidden="1">0</definedName>
    <definedName name="solver_val" localSheetId="5" hidden="1">0</definedName>
    <definedName name="solver_val" localSheetId="6" hidden="1">0</definedName>
    <definedName name="solver_ver" localSheetId="0" hidden="1">3</definedName>
    <definedName name="solver_ver" localSheetId="1" hidden="1">3</definedName>
    <definedName name="solver_ver" localSheetId="5" hidden="1">3</definedName>
    <definedName name="Table">'[10]经济订货量-折扣模型'!$K$3:$L$21</definedName>
    <definedName name="yssj">[11]D函数2!$A$1:$D$671</definedName>
    <definedName name="查询数据">[12]第2题!#REF!</definedName>
    <definedName name="陈元忠">[13]第1题!$D$3:$D$11</definedName>
    <definedName name="第1季度不规则值">[14]季节指数计算模型!$E$2,[14]季节指数计算模型!$E$7,[14]季节指数计算模型!$E$12,[14]季节指数计算模型!$E$17</definedName>
    <definedName name="第2季度不规则值">[14]季节指数计算模型!$E$3,[14]季节指数计算模型!$E$8,[14]季节指数计算模型!$E$13,[14]季节指数计算模型!$E$18</definedName>
    <definedName name="第3季度不规则值">[14]季节指数计算模型!$E$5,[14]季节指数计算模型!$E$10,[14]季节指数计算模型!$E$15</definedName>
    <definedName name="第4季度不规则值">[14]季节指数计算模型!$E$6,[14]季节指数计算模型!$E$11,[14]季节指数计算模型!$E$16,[14]季节指数计算模型!$E$21</definedName>
    <definedName name="基行">#REF!</definedName>
    <definedName name="蒋传海">[13]第1题!$C$3:$C$11</definedName>
    <definedName name="原始数据">#REF!</definedName>
    <definedName name="张雪凤">[13]第1题!$F$3:$F$11</definedName>
    <definedName name="周新燕">[13]第1题!$E$3:$E$11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6" l="1"/>
  <c r="F32" i="3"/>
  <c r="F33" i="3"/>
  <c r="G10" i="16"/>
  <c r="C8" i="16"/>
  <c r="J4" i="5"/>
  <c r="J5" i="5"/>
  <c r="J6" i="5"/>
  <c r="J7" i="5"/>
  <c r="J8" i="5"/>
  <c r="J9" i="5"/>
  <c r="J10" i="5"/>
  <c r="J11" i="5"/>
  <c r="J12" i="5"/>
  <c r="J13" i="5"/>
  <c r="J14" i="5"/>
  <c r="J15" i="5"/>
  <c r="G27" i="5" s="1"/>
  <c r="D11" i="5" s="1"/>
  <c r="J16" i="5"/>
  <c r="J17" i="5"/>
  <c r="J18" i="5"/>
  <c r="J19" i="5"/>
  <c r="J20" i="5"/>
  <c r="J21" i="5"/>
  <c r="J22" i="5"/>
  <c r="J23" i="5"/>
  <c r="E8" i="5"/>
  <c r="D8" i="5"/>
  <c r="D10" i="5" s="1"/>
  <c r="E7" i="5"/>
  <c r="I3" i="5" s="1"/>
  <c r="D7" i="5"/>
  <c r="H3" i="5" s="1"/>
  <c r="J3" i="5" s="1"/>
  <c r="F30" i="3"/>
  <c r="C11" i="16" l="1"/>
  <c r="C10" i="16"/>
  <c r="C12" i="16" s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5" i="3"/>
  <c r="E8" i="2"/>
  <c r="H10" i="16"/>
  <c r="I10" i="16"/>
  <c r="J10" i="16"/>
  <c r="K10" i="16"/>
  <c r="L10" i="16"/>
  <c r="M10" i="16"/>
  <c r="N10" i="16"/>
  <c r="O10" i="16"/>
  <c r="P10" i="16"/>
  <c r="Q10" i="16"/>
  <c r="F27" i="3" l="1"/>
  <c r="D22" i="3" s="1"/>
  <c r="I27" i="3"/>
  <c r="D25" i="3" s="1"/>
  <c r="J27" i="3"/>
  <c r="D26" i="3" s="1"/>
  <c r="G27" i="3"/>
  <c r="D23" i="3" s="1"/>
  <c r="K27" i="3"/>
  <c r="H27" i="3"/>
  <c r="D24" i="3" s="1"/>
  <c r="F13" i="16"/>
  <c r="D18" i="3" l="1"/>
  <c r="D15" i="3"/>
  <c r="D11" i="3"/>
  <c r="I4" i="3" s="1"/>
  <c r="D10" i="3"/>
  <c r="H4" i="3" s="1"/>
  <c r="D9" i="3"/>
  <c r="G4" i="3" s="1"/>
  <c r="J3" i="3"/>
  <c r="I3" i="3"/>
  <c r="H3" i="3"/>
  <c r="G3" i="3"/>
  <c r="D17" i="3" l="1"/>
  <c r="F31" i="3"/>
  <c r="D16" i="3"/>
  <c r="D19" i="3" s="1"/>
  <c r="D12" i="3"/>
  <c r="G31" i="3" l="1"/>
  <c r="G32" i="3"/>
  <c r="J4" i="3"/>
  <c r="G30" i="3"/>
  <c r="G33" i="3"/>
  <c r="E10" i="7"/>
  <c r="B2" i="7" s="1"/>
  <c r="B9" i="7"/>
  <c r="B8" i="7"/>
  <c r="B6" i="7"/>
  <c r="H5" i="7"/>
  <c r="B5" i="7" a="1"/>
  <c r="B5" i="7" s="1"/>
  <c r="H4" i="7"/>
  <c r="B7" i="7" s="1" a="1"/>
  <c r="B7" i="7" s="1"/>
  <c r="G4" i="7"/>
  <c r="B4" i="7" a="1"/>
  <c r="B4" i="7" s="1"/>
  <c r="B3" i="7"/>
  <c r="D9" i="2" l="1"/>
  <c r="I11" i="2" s="1"/>
  <c r="E9" i="2"/>
  <c r="J11" i="2" s="1"/>
  <c r="D3" i="14"/>
  <c r="E11" i="15"/>
  <c r="E2" i="15"/>
  <c r="E3" i="15"/>
  <c r="E4" i="15"/>
  <c r="E5" i="15"/>
  <c r="E6" i="15"/>
  <c r="E7" i="15"/>
  <c r="E8" i="15"/>
  <c r="E9" i="15"/>
  <c r="E10" i="15"/>
  <c r="H3" i="15"/>
  <c r="D2" i="15" s="1"/>
  <c r="H2" i="15"/>
  <c r="D9" i="15" l="1"/>
  <c r="D7" i="15"/>
  <c r="D11" i="15"/>
  <c r="D4" i="15"/>
  <c r="D8" i="15"/>
  <c r="D6" i="15"/>
  <c r="D5" i="15"/>
  <c r="D3" i="15"/>
  <c r="H5" i="15" s="1"/>
  <c r="D10" i="15"/>
  <c r="D4" i="14"/>
  <c r="D5" i="14" s="1"/>
  <c r="D6" i="14" s="1"/>
  <c r="H10" i="15"/>
  <c r="H4" i="15" l="1"/>
  <c r="H11" i="15"/>
  <c r="D7" i="14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J10" i="2"/>
  <c r="I10" i="2"/>
  <c r="H10" i="2"/>
  <c r="F5" i="14"/>
  <c r="G2" i="14" l="1"/>
  <c r="G5" i="14"/>
  <c r="G9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来自 ABCSALES" type="1" refreshedVersion="2" saveData="1">
    <dbPr connection="DBQ=E:\0 计算机应用 2013年版本-----------------\0 计算机应用 幻灯片 例题-2013\第3章 数据分类汇总\数据源\ABC公司销售数据.xls;DefaultDir=E:\0 计算机应用 2013年版本-----------------\0 计算机应用 幻灯片 例题-2013\第3章 数据分类汇总\数据源;Driver={Microsoft Excel Driver (*.xls, *.xlsx, *.xlsm, *.xlsb)};DriverId=1046;FIL=excel 12.0;MaxBufferSize=2048;MaxScanRows=8;PageTimeout=5;ReadOnly=1;SafeTransactions=0;Threads=3;UserCommitSync=Yes;" command="SELECT `销售明细$`.净销售额, `产品类别$`.类别, `销售省份$`.省份, `销售明细$`.价位_x000d__x000a_FROM `产品类别$` `产品类别$`, `销售明细$` `销售明细$`, `销售渠道$` `销售渠道$`, `销售省份$` `销售省份$`_x000d__x000a_WHERE `销售明细$`.渠道ID = `销售渠道$`.渠道ID AND `销售明细$`.类别ID = `产品类别$`.类别ID AND `销售明细$`.省份ID = `销售省份$`.省份ID"/>
  </connection>
</connections>
</file>

<file path=xl/sharedStrings.xml><?xml version="1.0" encoding="utf-8"?>
<sst xmlns="http://schemas.openxmlformats.org/spreadsheetml/2006/main" count="112" uniqueCount="99">
  <si>
    <t>周</t>
  </si>
  <si>
    <t>销量观测值</t>
  </si>
  <si>
    <t>指数平滑预测值</t>
  </si>
  <si>
    <t>平滑常数</t>
  </si>
  <si>
    <t>MSE</t>
  </si>
  <si>
    <t>最优平滑常数</t>
  </si>
  <si>
    <t>第21月销量</t>
  </si>
  <si>
    <t>模拟运算表计算各平滑常数下的MSE</t>
  </si>
  <si>
    <t>采购单价 （千元/吨）</t>
  </si>
  <si>
    <t>月利润（万元）</t>
  </si>
  <si>
    <t>利润预测</t>
  </si>
  <si>
    <t>规划求解利润预测</t>
  </si>
  <si>
    <t>EXCEL函数</t>
  </si>
  <si>
    <t>截距a</t>
  </si>
  <si>
    <t>斜率b</t>
  </si>
  <si>
    <t>R平方</t>
  </si>
  <si>
    <t>规划求解法</t>
  </si>
  <si>
    <t>假定采购单价</t>
  </si>
  <si>
    <t>月利润预测值</t>
  </si>
  <si>
    <t>需求量</t>
  </si>
  <si>
    <t>折扣域限值</t>
  </si>
  <si>
    <t>采购单价优惠折扣率</t>
  </si>
  <si>
    <t>自制</t>
  </si>
  <si>
    <t>外购</t>
  </si>
  <si>
    <t>固定成本</t>
  </si>
  <si>
    <t>单位可变成本</t>
  </si>
  <si>
    <t>采购原价</t>
  </si>
  <si>
    <t>模拟运算表计算自制与外购方案的总成本</t>
  </si>
  <si>
    <t>总成本</t>
  </si>
  <si>
    <t>贴现率</t>
  </si>
  <si>
    <t>模拟运算表计算不同贴现率下的净现值</t>
  </si>
  <si>
    <t>项目A每年回报</t>
  </si>
  <si>
    <t>初始投资额</t>
  </si>
  <si>
    <t>第1年</t>
  </si>
  <si>
    <t>第2年</t>
  </si>
  <si>
    <t>第3年</t>
  </si>
  <si>
    <t>第4年</t>
  </si>
  <si>
    <t>第5年</t>
  </si>
  <si>
    <t>第6年</t>
  </si>
  <si>
    <t>第7年</t>
  </si>
  <si>
    <t>第8年</t>
  </si>
  <si>
    <t>年限</t>
  </si>
  <si>
    <t xml:space="preserve">    </t>
  </si>
  <si>
    <t>项目A</t>
  </si>
  <si>
    <t>项目B</t>
  </si>
  <si>
    <t>10年末现金流入量</t>
  </si>
  <si>
    <t>净现值</t>
  </si>
  <si>
    <t>内部报酬率</t>
  </si>
  <si>
    <t>结论</t>
  </si>
  <si>
    <t>查表内插法的贴现率</t>
  </si>
  <si>
    <t>各年净现金流</t>
  </si>
  <si>
    <t>查表内插法</t>
  </si>
  <si>
    <t>单张机票的利润分布</t>
  </si>
  <si>
    <t>单个客户已购机票无法乘坐飞机的损失</t>
  </si>
  <si>
    <t>机票利润</t>
  </si>
  <si>
    <t>概率</t>
  </si>
  <si>
    <t>累计概率</t>
  </si>
  <si>
    <t>一个航班多售机票张数</t>
  </si>
  <si>
    <t>一个航班乘客改签其他航班人数的均值</t>
  </si>
  <si>
    <t>一个航班乘客改签其他航班的标准差</t>
  </si>
  <si>
    <t>一个航班实际改签人数</t>
  </si>
  <si>
    <t>单张机票的利润</t>
  </si>
  <si>
    <t>超售机票张数</t>
  </si>
  <si>
    <t>一个航班未能登机的人数</t>
  </si>
  <si>
    <t>出现乘客无法乘机频率</t>
  </si>
  <si>
    <t>一个航班多售机票利润与无法乘机损失之差</t>
  </si>
  <si>
    <t>该航班是否存在有票乘客无法乘机现象</t>
  </si>
  <si>
    <t>对超售机票张数的不同值进行200次模拟，得到是否存在有票乘客无法乘机现象</t>
  </si>
  <si>
    <r>
      <t>黏合剂</t>
    </r>
    <r>
      <rPr>
        <sz val="11"/>
        <color rgb="FF000000"/>
        <rFont val="Calibri"/>
        <family val="2"/>
      </rPr>
      <t>A</t>
    </r>
  </si>
  <si>
    <r>
      <t>黏合剂</t>
    </r>
    <r>
      <rPr>
        <sz val="11"/>
        <color rgb="FF000000"/>
        <rFont val="宋体"/>
        <family val="3"/>
        <charset val="134"/>
      </rPr>
      <t>B</t>
    </r>
    <phoneticPr fontId="19" type="noConversion"/>
  </si>
  <si>
    <t>需要量</t>
    <phoneticPr fontId="19" type="noConversion"/>
  </si>
  <si>
    <t>所用量</t>
    <phoneticPr fontId="19" type="noConversion"/>
  </si>
  <si>
    <t>单位加工时间（分钟/升）</t>
    <phoneticPr fontId="19" type="noConversion"/>
  </si>
  <si>
    <t>树脂（升）</t>
    <phoneticPr fontId="19" type="noConversion"/>
  </si>
  <si>
    <t>黏合剂至少生产量（升）</t>
    <phoneticPr fontId="19" type="noConversion"/>
  </si>
  <si>
    <t>黏合剂生产产量(升）</t>
    <phoneticPr fontId="19" type="noConversion"/>
  </si>
  <si>
    <t>平均每天加班工时（分钟）</t>
    <phoneticPr fontId="19" type="noConversion"/>
  </si>
  <si>
    <t>单位利润(元/升)</t>
    <phoneticPr fontId="19" type="noConversion"/>
  </si>
  <si>
    <t>总利润(元)</t>
    <phoneticPr fontId="19" type="noConversion"/>
  </si>
  <si>
    <t>模拟运算表计算年订货、储存、运输成本，与总成本</t>
    <phoneticPr fontId="22" type="noConversion"/>
  </si>
  <si>
    <t>年需要量</t>
    <phoneticPr fontId="23" type="noConversion"/>
  </si>
  <si>
    <t>单位年储存成本</t>
    <phoneticPr fontId="23" type="noConversion"/>
  </si>
  <si>
    <t>差值</t>
    <phoneticPr fontId="22" type="noConversion"/>
  </si>
  <si>
    <t>一次订购的订货成本</t>
    <phoneticPr fontId="23" type="noConversion"/>
  </si>
  <si>
    <t>每吨运费</t>
    <phoneticPr fontId="23" type="noConversion"/>
  </si>
  <si>
    <t>订货量</t>
    <phoneticPr fontId="23" type="noConversion"/>
  </si>
  <si>
    <t>年订货成本</t>
    <phoneticPr fontId="23" type="noConversion"/>
  </si>
  <si>
    <t>年储存成本</t>
    <phoneticPr fontId="23" type="noConversion"/>
  </si>
  <si>
    <t>年运输成本</t>
    <phoneticPr fontId="23" type="noConversion"/>
  </si>
  <si>
    <t>年总成本</t>
    <phoneticPr fontId="23" type="noConversion"/>
  </si>
  <si>
    <t>计算法：</t>
    <phoneticPr fontId="22" type="noConversion"/>
  </si>
  <si>
    <t>经济订货量EOQ</t>
    <phoneticPr fontId="23" type="noConversion"/>
  </si>
  <si>
    <t>EOQ下的年订货成本</t>
    <phoneticPr fontId="23" type="noConversion"/>
  </si>
  <si>
    <t>EOQ下的年储存成本</t>
    <phoneticPr fontId="23" type="noConversion"/>
  </si>
  <si>
    <t>EOQ下的年运输成本</t>
    <phoneticPr fontId="23" type="noConversion"/>
  </si>
  <si>
    <t>EOQ下的年总成本</t>
    <phoneticPr fontId="23" type="noConversion"/>
  </si>
  <si>
    <t>查表法：</t>
    <phoneticPr fontId="22" type="noConversion"/>
  </si>
  <si>
    <t>查表差值法</t>
    <phoneticPr fontId="22" type="noConversion"/>
  </si>
  <si>
    <t>参考线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</si>
</sst>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0_ "/>
    <numFmt numFmtId="177" formatCode="#,##0.00_ ;[Red]\-#,##0.00\ "/>
    <numFmt numFmtId="178" formatCode="0.0_ "/>
    <numFmt numFmtId="179" formatCode="0.0%"/>
    <numFmt numFmtId="180" formatCode="0_ "/>
    <numFmt numFmtId="181" formatCode="0.0"/>
    <numFmt numFmtId="182" formatCode="\¥#,##0.00;\¥\-#,##0.00"/>
    <numFmt numFmtId="183" formatCode="0.0;_砀"/>
    <numFmt numFmtId="184" formatCode="0;_砀"/>
    <numFmt numFmtId="185" formatCode="0_);[Red]\(0\)"/>
    <numFmt numFmtId="186" formatCode="0_ ;[Red]\-0\ "/>
  </numFmts>
  <fonts count="26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i/>
      <sz val="1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b/>
      <i/>
      <sz val="11"/>
      <color indexed="1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仿宋_GB2312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等线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>
      <alignment vertical="center"/>
    </xf>
    <xf numFmtId="0" fontId="13" fillId="0" borderId="0"/>
    <xf numFmtId="9" fontId="18" fillId="0" borderId="0" applyFont="0" applyFill="0" applyBorder="0" applyAlignment="0" applyProtection="0">
      <alignment vertical="center"/>
    </xf>
    <xf numFmtId="0" fontId="13" fillId="0" borderId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/>
    <xf numFmtId="9" fontId="13" fillId="0" borderId="0" applyFont="0" applyFill="0" applyBorder="0" applyAlignment="0" applyProtection="0">
      <alignment vertical="center"/>
    </xf>
    <xf numFmtId="0" fontId="13" fillId="0" borderId="0"/>
    <xf numFmtId="0" fontId="15" fillId="0" borderId="0"/>
    <xf numFmtId="0" fontId="13" fillId="0" borderId="0">
      <alignment vertical="center"/>
    </xf>
    <xf numFmtId="0" fontId="18" fillId="0" borderId="0"/>
    <xf numFmtId="0" fontId="15" fillId="0" borderId="0"/>
  </cellStyleXfs>
  <cellXfs count="154">
    <xf numFmtId="0" fontId="0" fillId="0" borderId="0" xfId="0">
      <alignment vertical="center"/>
    </xf>
    <xf numFmtId="0" fontId="1" fillId="0" borderId="0" xfId="3" applyFont="1"/>
    <xf numFmtId="0" fontId="1" fillId="2" borderId="3" xfId="3" applyFont="1" applyFill="1" applyBorder="1"/>
    <xf numFmtId="0" fontId="1" fillId="3" borderId="3" xfId="3" applyFont="1" applyFill="1" applyBorder="1"/>
    <xf numFmtId="0" fontId="1" fillId="2" borderId="4" xfId="3" applyFont="1" applyFill="1" applyBorder="1"/>
    <xf numFmtId="0" fontId="1" fillId="4" borderId="3" xfId="3" applyFont="1" applyFill="1" applyBorder="1"/>
    <xf numFmtId="0" fontId="1" fillId="5" borderId="3" xfId="3" applyFont="1" applyFill="1" applyBorder="1"/>
    <xf numFmtId="0" fontId="1" fillId="3" borderId="4" xfId="3" applyFont="1" applyFill="1" applyBorder="1"/>
    <xf numFmtId="9" fontId="1" fillId="3" borderId="3" xfId="3" applyNumberFormat="1" applyFont="1" applyFill="1" applyBorder="1"/>
    <xf numFmtId="0" fontId="1" fillId="6" borderId="3" xfId="3" applyFont="1" applyFill="1" applyBorder="1"/>
    <xf numFmtId="9" fontId="1" fillId="3" borderId="5" xfId="3" applyNumberFormat="1" applyFont="1" applyFill="1" applyBorder="1"/>
    <xf numFmtId="9" fontId="1" fillId="6" borderId="3" xfId="3" applyNumberFormat="1" applyFont="1" applyFill="1" applyBorder="1"/>
    <xf numFmtId="0" fontId="1" fillId="4" borderId="3" xfId="3" applyFont="1" applyFill="1" applyBorder="1" applyAlignment="1">
      <alignment wrapText="1"/>
    </xf>
    <xf numFmtId="9" fontId="1" fillId="7" borderId="3" xfId="2" applyFont="1" applyFill="1" applyBorder="1" applyAlignment="1"/>
    <xf numFmtId="0" fontId="2" fillId="0" borderId="0" xfId="3" applyFont="1"/>
    <xf numFmtId="1" fontId="1" fillId="8" borderId="3" xfId="3" applyNumberFormat="1" applyFont="1" applyFill="1" applyBorder="1"/>
    <xf numFmtId="0" fontId="1" fillId="2" borderId="6" xfId="3" applyFont="1" applyFill="1" applyBorder="1"/>
    <xf numFmtId="0" fontId="1" fillId="9" borderId="6" xfId="3" applyFont="1" applyFill="1" applyBorder="1"/>
    <xf numFmtId="0" fontId="1" fillId="2" borderId="7" xfId="3" applyFont="1" applyFill="1" applyBorder="1"/>
    <xf numFmtId="0" fontId="1" fillId="9" borderId="7" xfId="3" applyFont="1" applyFill="1" applyBorder="1"/>
    <xf numFmtId="0" fontId="1" fillId="2" borderId="5" xfId="3" applyFont="1" applyFill="1" applyBorder="1"/>
    <xf numFmtId="0" fontId="1" fillId="9" borderId="5" xfId="3" applyFont="1" applyFill="1" applyBorder="1"/>
    <xf numFmtId="0" fontId="18" fillId="0" borderId="0" xfId="15"/>
    <xf numFmtId="0" fontId="18" fillId="10" borderId="3" xfId="15" applyFill="1" applyBorder="1"/>
    <xf numFmtId="2" fontId="18" fillId="11" borderId="3" xfId="15" applyNumberFormat="1" applyFill="1" applyBorder="1"/>
    <xf numFmtId="0" fontId="18" fillId="12" borderId="6" xfId="15" applyFill="1" applyBorder="1"/>
    <xf numFmtId="176" fontId="18" fillId="0" borderId="0" xfId="15" applyNumberFormat="1"/>
    <xf numFmtId="0" fontId="1" fillId="0" borderId="0" xfId="14" applyFont="1">
      <alignment vertical="center"/>
    </xf>
    <xf numFmtId="0" fontId="1" fillId="4" borderId="3" xfId="14" applyFont="1" applyFill="1" applyBorder="1">
      <alignment vertical="center"/>
    </xf>
    <xf numFmtId="9" fontId="1" fillId="0" borderId="3" xfId="14" applyNumberFormat="1" applyFont="1" applyBorder="1">
      <alignment vertical="center"/>
    </xf>
    <xf numFmtId="0" fontId="4" fillId="0" borderId="0" xfId="14" applyFont="1">
      <alignment vertical="center"/>
    </xf>
    <xf numFmtId="0" fontId="1" fillId="0" borderId="3" xfId="14" applyFont="1" applyBorder="1">
      <alignment vertical="center"/>
    </xf>
    <xf numFmtId="0" fontId="1" fillId="0" borderId="0" xfId="14" applyFont="1" applyBorder="1">
      <alignment vertical="center"/>
    </xf>
    <xf numFmtId="1" fontId="1" fillId="0" borderId="3" xfId="14" applyNumberFormat="1" applyFont="1" applyBorder="1">
      <alignment vertical="center"/>
    </xf>
    <xf numFmtId="0" fontId="1" fillId="4" borderId="6" xfId="14" applyFont="1" applyFill="1" applyBorder="1">
      <alignment vertical="center"/>
    </xf>
    <xf numFmtId="0" fontId="1" fillId="0" borderId="6" xfId="14" applyFont="1" applyBorder="1">
      <alignment vertical="center"/>
    </xf>
    <xf numFmtId="9" fontId="1" fillId="2" borderId="3" xfId="14" applyNumberFormat="1" applyFont="1" applyFill="1" applyBorder="1">
      <alignment vertical="center"/>
    </xf>
    <xf numFmtId="1" fontId="1" fillId="2" borderId="3" xfId="14" applyNumberFormat="1" applyFont="1" applyFill="1" applyBorder="1">
      <alignment vertical="center"/>
    </xf>
    <xf numFmtId="177" fontId="1" fillId="0" borderId="0" xfId="14" applyNumberFormat="1" applyFont="1">
      <alignment vertical="center"/>
    </xf>
    <xf numFmtId="9" fontId="1" fillId="13" borderId="3" xfId="2" applyFont="1" applyFill="1" applyBorder="1">
      <alignment vertical="center"/>
    </xf>
    <xf numFmtId="1" fontId="1" fillId="13" borderId="3" xfId="14" applyNumberFormat="1" applyFont="1" applyFill="1" applyBorder="1">
      <alignment vertical="center"/>
    </xf>
    <xf numFmtId="179" fontId="5" fillId="13" borderId="3" xfId="2" applyNumberFormat="1" applyFont="1" applyFill="1" applyBorder="1">
      <alignment vertical="center"/>
    </xf>
    <xf numFmtId="0" fontId="1" fillId="13" borderId="3" xfId="14" applyFont="1" applyFill="1" applyBorder="1">
      <alignment vertical="center"/>
    </xf>
    <xf numFmtId="9" fontId="1" fillId="13" borderId="3" xfId="14" applyNumberFormat="1" applyFont="1" applyFill="1" applyBorder="1">
      <alignment vertical="center"/>
    </xf>
    <xf numFmtId="0" fontId="1" fillId="0" borderId="0" xfId="9" applyFont="1"/>
    <xf numFmtId="0" fontId="1" fillId="14" borderId="0" xfId="9" applyFont="1" applyFill="1"/>
    <xf numFmtId="0" fontId="1" fillId="0" borderId="0" xfId="9" applyFont="1" applyAlignment="1">
      <alignment wrapText="1"/>
    </xf>
    <xf numFmtId="180" fontId="1" fillId="15" borderId="6" xfId="9" applyNumberFormat="1" applyFont="1" applyFill="1" applyBorder="1"/>
    <xf numFmtId="180" fontId="1" fillId="9" borderId="3" xfId="9" applyNumberFormat="1" applyFont="1" applyFill="1" applyBorder="1" applyAlignment="1">
      <alignment horizontal="right"/>
    </xf>
    <xf numFmtId="0" fontId="6" fillId="14" borderId="0" xfId="9" applyFont="1" applyFill="1"/>
    <xf numFmtId="0" fontId="7" fillId="14" borderId="0" xfId="9" applyFont="1" applyFill="1"/>
    <xf numFmtId="1" fontId="1" fillId="9" borderId="3" xfId="9" applyNumberFormat="1" applyFont="1" applyFill="1" applyBorder="1"/>
    <xf numFmtId="2" fontId="1" fillId="9" borderId="3" xfId="9" applyNumberFormat="1" applyFont="1" applyFill="1" applyBorder="1"/>
    <xf numFmtId="176" fontId="1" fillId="0" borderId="0" xfId="9" applyNumberFormat="1" applyFont="1" applyAlignment="1">
      <alignment wrapText="1"/>
    </xf>
    <xf numFmtId="1" fontId="1" fillId="9" borderId="3" xfId="9" applyNumberFormat="1" applyFont="1" applyFill="1" applyBorder="1" applyAlignment="1">
      <alignment horizontal="right"/>
    </xf>
    <xf numFmtId="176" fontId="1" fillId="0" borderId="0" xfId="9" applyNumberFormat="1" applyFont="1"/>
    <xf numFmtId="0" fontId="8" fillId="0" borderId="0" xfId="7" applyFont="1" applyAlignment="1">
      <alignment vertical="center"/>
    </xf>
    <xf numFmtId="0" fontId="8" fillId="0" borderId="0" xfId="7" applyFont="1" applyAlignment="1">
      <alignment horizontal="center" vertical="center"/>
    </xf>
    <xf numFmtId="0" fontId="8" fillId="14" borderId="0" xfId="7" applyFont="1" applyFill="1" applyAlignment="1">
      <alignment vertical="center"/>
    </xf>
    <xf numFmtId="0" fontId="8" fillId="14" borderId="0" xfId="7" applyFont="1" applyFill="1" applyAlignment="1">
      <alignment horizontal="center" vertical="center"/>
    </xf>
    <xf numFmtId="0" fontId="8" fillId="2" borderId="3" xfId="7" applyFont="1" applyFill="1" applyBorder="1" applyAlignment="1">
      <alignment horizontal="left" vertical="center"/>
    </xf>
    <xf numFmtId="1" fontId="8" fillId="0" borderId="3" xfId="7" applyNumberFormat="1" applyFont="1" applyFill="1" applyBorder="1" applyAlignment="1">
      <alignment horizontal="center" vertical="center"/>
    </xf>
    <xf numFmtId="0" fontId="8" fillId="2" borderId="3" xfId="7" applyFont="1" applyFill="1" applyBorder="1" applyAlignment="1">
      <alignment horizontal="center" vertical="center" wrapText="1"/>
    </xf>
    <xf numFmtId="0" fontId="8" fillId="17" borderId="3" xfId="7" applyFont="1" applyFill="1" applyBorder="1" applyAlignment="1">
      <alignment horizontal="center" vertical="center"/>
    </xf>
    <xf numFmtId="0" fontId="8" fillId="2" borderId="3" xfId="7" applyFont="1" applyFill="1" applyBorder="1" applyAlignment="1">
      <alignment horizontal="center" vertical="center"/>
    </xf>
    <xf numFmtId="1" fontId="8" fillId="3" borderId="3" xfId="7" applyNumberFormat="1" applyFont="1" applyFill="1" applyBorder="1" applyAlignment="1">
      <alignment horizontal="right" vertical="center"/>
    </xf>
    <xf numFmtId="0" fontId="8" fillId="0" borderId="3" xfId="7" applyFont="1" applyBorder="1" applyAlignment="1">
      <alignment vertical="center"/>
    </xf>
    <xf numFmtId="181" fontId="8" fillId="3" borderId="3" xfId="7" applyNumberFormat="1" applyFont="1" applyFill="1" applyBorder="1" applyAlignment="1">
      <alignment horizontal="right" vertical="center"/>
    </xf>
    <xf numFmtId="0" fontId="8" fillId="2" borderId="3" xfId="7" applyFont="1" applyFill="1" applyBorder="1" applyAlignment="1">
      <alignment horizontal="left" vertical="center" wrapText="1"/>
    </xf>
    <xf numFmtId="9" fontId="8" fillId="8" borderId="3" xfId="4" applyFont="1" applyFill="1" applyBorder="1" applyAlignment="1">
      <alignment horizontal="right" vertical="center"/>
    </xf>
    <xf numFmtId="2" fontId="8" fillId="8" borderId="3" xfId="7" applyNumberFormat="1" applyFont="1" applyFill="1" applyBorder="1" applyAlignment="1">
      <alignment horizontal="right" vertical="center"/>
    </xf>
    <xf numFmtId="182" fontId="8" fillId="0" borderId="0" xfId="7" applyNumberFormat="1" applyFont="1" applyAlignment="1">
      <alignment vertical="center"/>
    </xf>
    <xf numFmtId="0" fontId="8" fillId="0" borderId="0" xfId="7" applyFont="1" applyBorder="1" applyAlignment="1">
      <alignment horizontal="center" vertical="center"/>
    </xf>
    <xf numFmtId="0" fontId="8" fillId="0" borderId="0" xfId="7" applyFont="1" applyBorder="1" applyAlignment="1">
      <alignment vertical="center"/>
    </xf>
    <xf numFmtId="9" fontId="8" fillId="17" borderId="3" xfId="7" applyNumberFormat="1" applyFont="1" applyFill="1" applyBorder="1" applyAlignment="1">
      <alignment horizontal="center" vertical="center"/>
    </xf>
    <xf numFmtId="182" fontId="8" fillId="0" borderId="0" xfId="7" applyNumberFormat="1" applyFont="1" applyBorder="1" applyAlignment="1">
      <alignment horizontal="center" vertical="center"/>
    </xf>
    <xf numFmtId="180" fontId="8" fillId="2" borderId="3" xfId="7" applyNumberFormat="1" applyFont="1" applyFill="1" applyBorder="1" applyAlignment="1">
      <alignment vertical="center"/>
    </xf>
    <xf numFmtId="180" fontId="8" fillId="8" borderId="3" xfId="7" applyNumberFormat="1" applyFont="1" applyFill="1" applyBorder="1" applyAlignment="1">
      <alignment vertical="center"/>
    </xf>
    <xf numFmtId="0" fontId="1" fillId="0" borderId="0" xfId="12" applyFont="1"/>
    <xf numFmtId="0" fontId="1" fillId="4" borderId="6" xfId="16" applyFont="1" applyFill="1" applyBorder="1" applyAlignment="1" applyProtection="1">
      <alignment horizontal="center" wrapText="1"/>
    </xf>
    <xf numFmtId="0" fontId="1" fillId="2" borderId="6" xfId="16" applyFont="1" applyFill="1" applyBorder="1" applyAlignment="1" applyProtection="1">
      <alignment horizontal="center" wrapText="1"/>
    </xf>
    <xf numFmtId="0" fontId="1" fillId="10" borderId="11" xfId="16" applyFont="1" applyFill="1" applyBorder="1" applyProtection="1"/>
    <xf numFmtId="0" fontId="1" fillId="10" borderId="6" xfId="16" applyFont="1" applyFill="1" applyBorder="1" applyProtection="1"/>
    <xf numFmtId="181" fontId="1" fillId="9" borderId="11" xfId="16" applyNumberFormat="1" applyFont="1" applyFill="1" applyBorder="1" applyProtection="1"/>
    <xf numFmtId="181" fontId="1" fillId="9" borderId="6" xfId="16" applyNumberFormat="1" applyFont="1" applyFill="1" applyBorder="1" applyProtection="1"/>
    <xf numFmtId="0" fontId="1" fillId="4" borderId="3" xfId="12" applyFont="1" applyFill="1" applyBorder="1"/>
    <xf numFmtId="0" fontId="1" fillId="18" borderId="3" xfId="12" applyFont="1" applyFill="1" applyBorder="1"/>
    <xf numFmtId="0" fontId="1" fillId="10" borderId="12" xfId="16" applyFont="1" applyFill="1" applyBorder="1" applyProtection="1"/>
    <xf numFmtId="0" fontId="1" fillId="10" borderId="7" xfId="16" applyFont="1" applyFill="1" applyBorder="1" applyProtection="1"/>
    <xf numFmtId="0" fontId="1" fillId="10" borderId="1" xfId="16" applyFont="1" applyFill="1" applyBorder="1" applyProtection="1"/>
    <xf numFmtId="0" fontId="1" fillId="10" borderId="5" xfId="16" applyFont="1" applyFill="1" applyBorder="1" applyProtection="1"/>
    <xf numFmtId="0" fontId="10" fillId="19" borderId="5" xfId="16" applyFont="1" applyFill="1" applyBorder="1" applyProtection="1"/>
    <xf numFmtId="181" fontId="1" fillId="9" borderId="1" xfId="16" applyNumberFormat="1" applyFont="1" applyFill="1" applyBorder="1" applyProtection="1"/>
    <xf numFmtId="181" fontId="1" fillId="9" borderId="5" xfId="16" applyNumberFormat="1" applyFont="1" applyFill="1" applyBorder="1" applyProtection="1"/>
    <xf numFmtId="0" fontId="1" fillId="20" borderId="3" xfId="12" applyFont="1" applyFill="1" applyBorder="1"/>
    <xf numFmtId="0" fontId="11" fillId="0" borderId="0" xfId="12" applyFont="1" applyAlignment="1">
      <alignment horizontal="left" vertical="center" readingOrder="1"/>
    </xf>
    <xf numFmtId="0" fontId="12" fillId="0" borderId="0" xfId="12" applyFont="1" applyAlignment="1">
      <alignment horizontal="left" vertical="center" readingOrder="1"/>
    </xf>
    <xf numFmtId="0" fontId="13" fillId="0" borderId="0" xfId="12"/>
    <xf numFmtId="0" fontId="1" fillId="4" borderId="3" xfId="6" applyFont="1" applyFill="1" applyBorder="1" applyAlignment="1">
      <alignment horizontal="center"/>
    </xf>
    <xf numFmtId="0" fontId="1" fillId="0" borderId="0" xfId="6" applyFont="1">
      <alignment vertical="center"/>
    </xf>
    <xf numFmtId="0" fontId="1" fillId="2" borderId="3" xfId="6" applyFont="1" applyFill="1" applyBorder="1">
      <alignment vertical="center"/>
    </xf>
    <xf numFmtId="0" fontId="1" fillId="19" borderId="3" xfId="6" applyFont="1" applyFill="1" applyBorder="1">
      <alignment vertical="center"/>
    </xf>
    <xf numFmtId="0" fontId="1" fillId="10" borderId="3" xfId="6" applyFont="1" applyFill="1" applyBorder="1" applyAlignment="1">
      <alignment horizontal="right"/>
    </xf>
    <xf numFmtId="178" fontId="1" fillId="16" borderId="3" xfId="6" applyNumberFormat="1" applyFont="1" applyFill="1" applyBorder="1">
      <alignment vertical="center"/>
    </xf>
    <xf numFmtId="183" fontId="1" fillId="16" borderId="3" xfId="6" applyNumberFormat="1" applyFont="1" applyFill="1" applyBorder="1">
      <alignment vertical="center"/>
    </xf>
    <xf numFmtId="0" fontId="1" fillId="0" borderId="0" xfId="1" applyFont="1"/>
    <xf numFmtId="178" fontId="1" fillId="18" borderId="6" xfId="6" applyNumberFormat="1" applyFont="1" applyFill="1" applyBorder="1">
      <alignment vertical="center"/>
    </xf>
    <xf numFmtId="0" fontId="1" fillId="2" borderId="11" xfId="6" applyFont="1" applyFill="1" applyBorder="1">
      <alignment vertical="center"/>
    </xf>
    <xf numFmtId="0" fontId="1" fillId="2" borderId="12" xfId="6" applyFont="1" applyFill="1" applyBorder="1">
      <alignment vertical="center"/>
    </xf>
    <xf numFmtId="178" fontId="1" fillId="18" borderId="7" xfId="6" applyNumberFormat="1" applyFont="1" applyFill="1" applyBorder="1">
      <alignment vertical="center"/>
    </xf>
    <xf numFmtId="0" fontId="1" fillId="2" borderId="1" xfId="6" applyFont="1" applyFill="1" applyBorder="1">
      <alignment vertical="center"/>
    </xf>
    <xf numFmtId="178" fontId="1" fillId="18" borderId="5" xfId="6" applyNumberFormat="1" applyFont="1" applyFill="1" applyBorder="1">
      <alignment vertical="center"/>
    </xf>
    <xf numFmtId="184" fontId="1" fillId="0" borderId="0" xfId="6" applyNumberFormat="1" applyFont="1">
      <alignment vertical="center"/>
    </xf>
    <xf numFmtId="184" fontId="1" fillId="0" borderId="0" xfId="6" applyNumberFormat="1" applyFont="1" applyAlignment="1">
      <alignment horizontal="right" vertical="center"/>
    </xf>
    <xf numFmtId="176" fontId="1" fillId="18" borderId="3" xfId="12" applyNumberFormat="1" applyFont="1" applyFill="1" applyBorder="1"/>
    <xf numFmtId="0" fontId="1" fillId="0" borderId="4" xfId="14" applyFont="1" applyBorder="1" applyAlignment="1">
      <alignment horizontal="center" vertical="center"/>
    </xf>
    <xf numFmtId="0" fontId="1" fillId="0" borderId="8" xfId="14" applyFont="1" applyBorder="1" applyAlignment="1">
      <alignment horizontal="center" vertical="center"/>
    </xf>
    <xf numFmtId="0" fontId="1" fillId="0" borderId="9" xfId="14" applyFont="1" applyBorder="1" applyAlignment="1">
      <alignment horizontal="center" vertical="center"/>
    </xf>
    <xf numFmtId="0" fontId="1" fillId="4" borderId="3" xfId="14" applyFont="1" applyFill="1" applyBorder="1" applyAlignment="1">
      <alignment horizontal="left" vertical="center"/>
    </xf>
    <xf numFmtId="0" fontId="1" fillId="4" borderId="4" xfId="14" applyFont="1" applyFill="1" applyBorder="1" applyAlignment="1">
      <alignment horizontal="center" vertical="center" wrapText="1"/>
    </xf>
    <xf numFmtId="0" fontId="1" fillId="4" borderId="8" xfId="14" applyFont="1" applyFill="1" applyBorder="1" applyAlignment="1">
      <alignment horizontal="center" vertical="center" wrapText="1"/>
    </xf>
    <xf numFmtId="0" fontId="1" fillId="4" borderId="9" xfId="14" applyFont="1" applyFill="1" applyBorder="1" applyAlignment="1">
      <alignment horizontal="center" vertical="center" wrapText="1"/>
    </xf>
    <xf numFmtId="0" fontId="1" fillId="4" borderId="3" xfId="14" applyFont="1" applyFill="1" applyBorder="1" applyAlignment="1">
      <alignment horizontal="center" vertical="center"/>
    </xf>
    <xf numFmtId="0" fontId="1" fillId="0" borderId="3" xfId="14" applyFont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2" borderId="2" xfId="3" applyFont="1" applyFill="1" applyBorder="1" applyAlignment="1">
      <alignment horizontal="center"/>
    </xf>
    <xf numFmtId="185" fontId="1" fillId="2" borderId="3" xfId="6" applyNumberFormat="1" applyFont="1" applyFill="1" applyBorder="1" applyAlignment="1">
      <alignment horizontal="center"/>
    </xf>
    <xf numFmtId="185" fontId="0" fillId="0" borderId="0" xfId="0" applyNumberFormat="1">
      <alignment vertical="center"/>
    </xf>
    <xf numFmtId="185" fontId="13" fillId="0" borderId="0" xfId="12" applyNumberFormat="1"/>
    <xf numFmtId="0" fontId="18" fillId="21" borderId="3" xfId="15" applyFill="1" applyBorder="1"/>
    <xf numFmtId="0" fontId="3" fillId="21" borderId="3" xfId="15" applyFont="1" applyFill="1" applyBorder="1"/>
    <xf numFmtId="0" fontId="18" fillId="21" borderId="6" xfId="15" applyFill="1" applyBorder="1"/>
    <xf numFmtId="0" fontId="20" fillId="22" borderId="3" xfId="15" applyFont="1" applyFill="1" applyBorder="1"/>
    <xf numFmtId="0" fontId="21" fillId="0" borderId="0" xfId="9" applyFont="1"/>
    <xf numFmtId="0" fontId="21" fillId="14" borderId="0" xfId="9" applyFont="1" applyFill="1"/>
    <xf numFmtId="0" fontId="1" fillId="21" borderId="3" xfId="9" applyFont="1" applyFill="1" applyBorder="1"/>
    <xf numFmtId="0" fontId="1" fillId="23" borderId="3" xfId="9" applyFont="1" applyFill="1" applyBorder="1" applyAlignment="1">
      <alignment horizontal="right"/>
    </xf>
    <xf numFmtId="176" fontId="1" fillId="24" borderId="3" xfId="9" applyNumberFormat="1" applyFont="1" applyFill="1" applyBorder="1" applyAlignment="1">
      <alignment horizontal="right"/>
    </xf>
    <xf numFmtId="176" fontId="1" fillId="24" borderId="3" xfId="4" applyNumberFormat="1" applyFont="1" applyFill="1" applyBorder="1" applyAlignment="1">
      <alignment horizontal="right"/>
    </xf>
    <xf numFmtId="176" fontId="1" fillId="24" borderId="10" xfId="9" applyNumberFormat="1" applyFont="1" applyFill="1" applyBorder="1" applyAlignment="1">
      <alignment horizontal="right"/>
    </xf>
    <xf numFmtId="0" fontId="8" fillId="2" borderId="3" xfId="7" applyNumberFormat="1" applyFont="1" applyFill="1" applyBorder="1" applyAlignment="1">
      <alignment horizontal="center" vertical="center"/>
    </xf>
    <xf numFmtId="176" fontId="1" fillId="21" borderId="3" xfId="9" applyNumberFormat="1" applyFont="1" applyFill="1" applyBorder="1"/>
    <xf numFmtId="0" fontId="24" fillId="21" borderId="3" xfId="9" applyFont="1" applyFill="1" applyBorder="1"/>
    <xf numFmtId="180" fontId="24" fillId="9" borderId="3" xfId="9" applyNumberFormat="1" applyFont="1" applyFill="1" applyBorder="1" applyAlignment="1">
      <alignment horizontal="right"/>
    </xf>
    <xf numFmtId="180" fontId="24" fillId="15" borderId="6" xfId="9" applyNumberFormat="1" applyFont="1" applyFill="1" applyBorder="1"/>
    <xf numFmtId="1" fontId="24" fillId="9" borderId="3" xfId="9" applyNumberFormat="1" applyFont="1" applyFill="1" applyBorder="1" applyAlignment="1">
      <alignment horizontal="right"/>
    </xf>
    <xf numFmtId="186" fontId="25" fillId="0" borderId="0" xfId="0" applyNumberFormat="1" applyFont="1">
      <alignment vertical="center"/>
    </xf>
    <xf numFmtId="179" fontId="1" fillId="0" borderId="3" xfId="14" applyNumberFormat="1" applyFont="1" applyBorder="1">
      <alignment vertical="center"/>
    </xf>
    <xf numFmtId="49" fontId="1" fillId="7" borderId="3" xfId="3" applyNumberFormat="1" applyFont="1" applyFill="1" applyBorder="1"/>
    <xf numFmtId="185" fontId="1" fillId="7" borderId="3" xfId="3" applyNumberFormat="1" applyFont="1" applyFill="1" applyBorder="1"/>
    <xf numFmtId="0" fontId="1" fillId="0" borderId="0" xfId="1" applyFont="1" applyAlignment="1">
      <alignment horizontal="left" wrapText="1"/>
    </xf>
    <xf numFmtId="0" fontId="1" fillId="0" borderId="2" xfId="12" applyFont="1" applyBorder="1" applyAlignment="1">
      <alignment horizontal="center"/>
    </xf>
    <xf numFmtId="0" fontId="9" fillId="0" borderId="0" xfId="7" applyFont="1" applyAlignment="1">
      <alignment horizontal="left" vertical="center" wrapText="1"/>
    </xf>
    <xf numFmtId="0" fontId="4" fillId="0" borderId="0" xfId="9" applyFont="1" applyAlignment="1">
      <alignment horizontal="left"/>
    </xf>
  </cellXfs>
  <cellStyles count="17">
    <cellStyle name="Normal_Calculation (3)" xfId="10" xr:uid="{00000000-0005-0000-0000-000039000000}"/>
    <cellStyle name="百分比" xfId="2" builtinId="5"/>
    <cellStyle name="百分比 2" xfId="4" xr:uid="{00000000-0005-0000-0000-00000F000000}"/>
    <cellStyle name="百分比 3" xfId="11" xr:uid="{00000000-0005-0000-0000-00003A000000}"/>
    <cellStyle name="百分比 4" xfId="5" xr:uid="{00000000-0005-0000-0000-000016000000}"/>
    <cellStyle name="常规" xfId="0" builtinId="0"/>
    <cellStyle name="常规 2" xfId="12" xr:uid="{00000000-0005-0000-0000-00003B000000}"/>
    <cellStyle name="常规 2 2" xfId="7" xr:uid="{00000000-0005-0000-0000-000031000000}"/>
    <cellStyle name="常规 2 3" xfId="8" xr:uid="{00000000-0005-0000-0000-000035000000}"/>
    <cellStyle name="常规 3" xfId="13" xr:uid="{00000000-0005-0000-0000-00003C000000}"/>
    <cellStyle name="常规 4" xfId="14" xr:uid="{00000000-0005-0000-0000-00003D000000}"/>
    <cellStyle name="常规 5" xfId="15" xr:uid="{00000000-0005-0000-0000-00003E000000}"/>
    <cellStyle name="常规 6" xfId="3" xr:uid="{00000000-0005-0000-0000-00000E000000}"/>
    <cellStyle name="常规_2010春" xfId="6" xr:uid="{00000000-0005-0000-0000-00001F000000}"/>
    <cellStyle name="常规_回归1" xfId="16" xr:uid="{00000000-0005-0000-0000-00003F000000}"/>
    <cellStyle name="常规_回归分析练习" xfId="1" xr:uid="{00000000-0005-0000-0000-000009000000}"/>
    <cellStyle name="常规_经济订货量第3题" xfId="9" xr:uid="{00000000-0005-0000-0000-000038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connections" Target="connection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第1题!$C$1</c:f>
              <c:strCache>
                <c:ptCount val="1"/>
                <c:pt idx="0">
                  <c:v>销量观测值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第1题!$B$2:$B$21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第1题!$C$2:$C$21</c:f>
              <c:numCache>
                <c:formatCode>General</c:formatCode>
                <c:ptCount val="20"/>
                <c:pt idx="0">
                  <c:v>10552</c:v>
                </c:pt>
                <c:pt idx="1">
                  <c:v>11693</c:v>
                </c:pt>
                <c:pt idx="2">
                  <c:v>12437</c:v>
                </c:pt>
                <c:pt idx="3">
                  <c:v>11472</c:v>
                </c:pt>
                <c:pt idx="4">
                  <c:v>11156</c:v>
                </c:pt>
                <c:pt idx="5">
                  <c:v>12950</c:v>
                </c:pt>
                <c:pt idx="6">
                  <c:v>10880</c:v>
                </c:pt>
                <c:pt idx="7">
                  <c:v>10708</c:v>
                </c:pt>
                <c:pt idx="8">
                  <c:v>12489</c:v>
                </c:pt>
                <c:pt idx="9">
                  <c:v>11310</c:v>
                </c:pt>
                <c:pt idx="10">
                  <c:v>10734</c:v>
                </c:pt>
                <c:pt idx="11">
                  <c:v>11449</c:v>
                </c:pt>
                <c:pt idx="12">
                  <c:v>9781</c:v>
                </c:pt>
                <c:pt idx="13">
                  <c:v>11865</c:v>
                </c:pt>
                <c:pt idx="14">
                  <c:v>9990</c:v>
                </c:pt>
                <c:pt idx="15">
                  <c:v>11850</c:v>
                </c:pt>
                <c:pt idx="16">
                  <c:v>10774</c:v>
                </c:pt>
                <c:pt idx="17">
                  <c:v>12668</c:v>
                </c:pt>
                <c:pt idx="18">
                  <c:v>12091</c:v>
                </c:pt>
                <c:pt idx="19">
                  <c:v>11789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2-4121-AC59-8A04C9389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362097"/>
        <c:axId val="829917529"/>
      </c:scatterChart>
      <c:valAx>
        <c:axId val="9473620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917529"/>
        <c:crosses val="autoZero"/>
        <c:crossBetween val="midCat"/>
      </c:valAx>
      <c:valAx>
        <c:axId val="8299175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3620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月利润</a:t>
            </a:r>
            <a:r>
              <a:rPr lang="en-US"/>
              <a:t>/</a:t>
            </a:r>
            <a:r>
              <a:rPr lang="zh-CN"/>
              <a:t>万元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月利润/万元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第2题!$B$2:$B$10</c:f>
              <c:numCache>
                <c:formatCode>General</c:formatCode>
                <c:ptCount val="9"/>
                <c:pt idx="0">
                  <c:v>7.18</c:v>
                </c:pt>
                <c:pt idx="1">
                  <c:v>6.66</c:v>
                </c:pt>
                <c:pt idx="2">
                  <c:v>6.66</c:v>
                </c:pt>
                <c:pt idx="3">
                  <c:v>6.57</c:v>
                </c:pt>
                <c:pt idx="4">
                  <c:v>6.38</c:v>
                </c:pt>
                <c:pt idx="5">
                  <c:v>6.22</c:v>
                </c:pt>
                <c:pt idx="6">
                  <c:v>6.12</c:v>
                </c:pt>
                <c:pt idx="7">
                  <c:v>6.08</c:v>
                </c:pt>
                <c:pt idx="8">
                  <c:v>5.85</c:v>
                </c:pt>
              </c:numCache>
            </c:numRef>
          </c:xVal>
          <c:yVal>
            <c:numRef>
              <c:f>第2题!$C$2:$C$10</c:f>
              <c:numCache>
                <c:formatCode>General</c:formatCode>
                <c:ptCount val="9"/>
                <c:pt idx="0">
                  <c:v>2100</c:v>
                </c:pt>
                <c:pt idx="1">
                  <c:v>5800</c:v>
                </c:pt>
                <c:pt idx="2">
                  <c:v>8500</c:v>
                </c:pt>
                <c:pt idx="3">
                  <c:v>6800</c:v>
                </c:pt>
                <c:pt idx="4">
                  <c:v>7400</c:v>
                </c:pt>
                <c:pt idx="5">
                  <c:v>9300</c:v>
                </c:pt>
                <c:pt idx="6">
                  <c:v>7200</c:v>
                </c:pt>
                <c:pt idx="7">
                  <c:v>12200</c:v>
                </c:pt>
                <c:pt idx="8">
                  <c:v>12500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5-4304-B95E-67276CC9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276536"/>
        <c:axId val="626539000"/>
      </c:scatterChart>
      <c:valAx>
        <c:axId val="62727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539000"/>
        <c:crosses val="autoZero"/>
        <c:crossBetween val="midCat"/>
      </c:valAx>
      <c:valAx>
        <c:axId val="62653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27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自制与外购成本图表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第3题!$I$10</c:f>
              <c:strCache>
                <c:ptCount val="1"/>
                <c:pt idx="0">
                  <c:v>自制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第3题!$H$11:$H$19</c:f>
              <c:numCache>
                <c:formatCode>General</c:formatCode>
                <c:ptCount val="9"/>
                <c:pt idx="1">
                  <c:v>3500</c:v>
                </c:pt>
                <c:pt idx="2">
                  <c:v>3999.9989999999998</c:v>
                </c:pt>
                <c:pt idx="3">
                  <c:v>4000</c:v>
                </c:pt>
                <c:pt idx="4">
                  <c:v>4499.9989999999998</c:v>
                </c:pt>
                <c:pt idx="5">
                  <c:v>4500.0001000000002</c:v>
                </c:pt>
                <c:pt idx="6">
                  <c:v>4999.9989999999998</c:v>
                </c:pt>
                <c:pt idx="7">
                  <c:v>5000.0001000000002</c:v>
                </c:pt>
                <c:pt idx="8">
                  <c:v>5500</c:v>
                </c:pt>
              </c:numCache>
            </c:numRef>
          </c:xVal>
          <c:yVal>
            <c:numRef>
              <c:f>第3题!$I$11:$I$19</c:f>
              <c:numCache>
                <c:formatCode>0_ </c:formatCode>
                <c:ptCount val="9"/>
                <c:pt idx="0">
                  <c:v>91200</c:v>
                </c:pt>
                <c:pt idx="1">
                  <c:v>84800</c:v>
                </c:pt>
                <c:pt idx="2">
                  <c:v>91199.987200000003</c:v>
                </c:pt>
                <c:pt idx="3">
                  <c:v>91200</c:v>
                </c:pt>
                <c:pt idx="4">
                  <c:v>97599.987200000003</c:v>
                </c:pt>
                <c:pt idx="5">
                  <c:v>97600.001279999997</c:v>
                </c:pt>
                <c:pt idx="6">
                  <c:v>103999.9872</c:v>
                </c:pt>
                <c:pt idx="7">
                  <c:v>104000.00128</c:v>
                </c:pt>
                <c:pt idx="8">
                  <c:v>110400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7-4CA3-A551-87756102B642}"/>
            </c:ext>
          </c:extLst>
        </c:ser>
        <c:ser>
          <c:idx val="1"/>
          <c:order val="1"/>
          <c:tx>
            <c:strRef>
              <c:f>第3题!$J$10</c:f>
              <c:strCache>
                <c:ptCount val="1"/>
                <c:pt idx="0">
                  <c:v>外购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第3题!$H$11:$H$19</c:f>
              <c:numCache>
                <c:formatCode>General</c:formatCode>
                <c:ptCount val="9"/>
                <c:pt idx="1">
                  <c:v>3500</c:v>
                </c:pt>
                <c:pt idx="2">
                  <c:v>3999.9989999999998</c:v>
                </c:pt>
                <c:pt idx="3">
                  <c:v>4000</c:v>
                </c:pt>
                <c:pt idx="4">
                  <c:v>4499.9989999999998</c:v>
                </c:pt>
                <c:pt idx="5">
                  <c:v>4500.0001000000002</c:v>
                </c:pt>
                <c:pt idx="6">
                  <c:v>4999.9989999999998</c:v>
                </c:pt>
                <c:pt idx="7">
                  <c:v>5000.0001000000002</c:v>
                </c:pt>
                <c:pt idx="8">
                  <c:v>5500</c:v>
                </c:pt>
              </c:numCache>
            </c:numRef>
          </c:xVal>
          <c:yVal>
            <c:numRef>
              <c:f>第3题!$J$11:$J$19</c:f>
              <c:numCache>
                <c:formatCode>0_ </c:formatCode>
                <c:ptCount val="9"/>
                <c:pt idx="0">
                  <c:v>93600.000000000015</c:v>
                </c:pt>
                <c:pt idx="1">
                  <c:v>91000</c:v>
                </c:pt>
                <c:pt idx="2">
                  <c:v>103999.97399999999</c:v>
                </c:pt>
                <c:pt idx="3">
                  <c:v>93600.000000000015</c:v>
                </c:pt>
                <c:pt idx="4">
                  <c:v>105299.97660000001</c:v>
                </c:pt>
                <c:pt idx="5">
                  <c:v>95940.002132000009</c:v>
                </c:pt>
                <c:pt idx="6">
                  <c:v>106599.97868</c:v>
                </c:pt>
                <c:pt idx="7">
                  <c:v>104000.00208000001</c:v>
                </c:pt>
                <c:pt idx="8">
                  <c:v>114400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97-4CA3-A551-87756102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77640"/>
        <c:axId val="721675344"/>
      </c:scatterChart>
      <c:valAx>
        <c:axId val="721677640"/>
        <c:scaling>
          <c:orientation val="minMax"/>
          <c:max val="5500"/>
          <c:min val="3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675344"/>
        <c:crosses val="autoZero"/>
        <c:crossBetween val="midCat"/>
      </c:valAx>
      <c:valAx>
        <c:axId val="721675344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67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经济订货量模型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第4题!$G$3</c:f>
              <c:strCache>
                <c:ptCount val="1"/>
                <c:pt idx="0">
                  <c:v>年订货成本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第4题!$F$5:$F$24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第4题!$G$5:$G$24</c:f>
              <c:numCache>
                <c:formatCode>0_ </c:formatCode>
                <c:ptCount val="20"/>
                <c:pt idx="0">
                  <c:v>50000</c:v>
                </c:pt>
                <c:pt idx="1">
                  <c:v>25000</c:v>
                </c:pt>
                <c:pt idx="2">
                  <c:v>16666.666666666664</c:v>
                </c:pt>
                <c:pt idx="3">
                  <c:v>12500</c:v>
                </c:pt>
                <c:pt idx="4">
                  <c:v>10000</c:v>
                </c:pt>
                <c:pt idx="5">
                  <c:v>8333.3333333333321</c:v>
                </c:pt>
                <c:pt idx="6">
                  <c:v>7142.8571428571431</c:v>
                </c:pt>
                <c:pt idx="7">
                  <c:v>6250</c:v>
                </c:pt>
                <c:pt idx="8">
                  <c:v>5555.5555555555557</c:v>
                </c:pt>
                <c:pt idx="9">
                  <c:v>5000</c:v>
                </c:pt>
                <c:pt idx="10">
                  <c:v>4545.454545454545</c:v>
                </c:pt>
                <c:pt idx="11">
                  <c:v>4166.6666666666661</c:v>
                </c:pt>
                <c:pt idx="12">
                  <c:v>3846.1538461538462</c:v>
                </c:pt>
                <c:pt idx="13">
                  <c:v>3571.4285714285716</c:v>
                </c:pt>
                <c:pt idx="14">
                  <c:v>3333.3333333333335</c:v>
                </c:pt>
                <c:pt idx="15">
                  <c:v>3125</c:v>
                </c:pt>
                <c:pt idx="16">
                  <c:v>2941.1764705882351</c:v>
                </c:pt>
                <c:pt idx="17">
                  <c:v>2777.7777777777778</c:v>
                </c:pt>
                <c:pt idx="18">
                  <c:v>2631.5789473684208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9-4F6C-805B-B492AA072F0A}"/>
            </c:ext>
          </c:extLst>
        </c:ser>
        <c:ser>
          <c:idx val="1"/>
          <c:order val="1"/>
          <c:tx>
            <c:strRef>
              <c:f>第4题!$H$3</c:f>
              <c:strCache>
                <c:ptCount val="1"/>
                <c:pt idx="0">
                  <c:v>年储存成本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第4题!$F$5:$F$24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第4题!$H$5:$H$24</c:f>
              <c:numCache>
                <c:formatCode>0_ </c:formatCode>
                <c:ptCount val="20"/>
                <c:pt idx="0">
                  <c:v>375</c:v>
                </c:pt>
                <c:pt idx="1">
                  <c:v>750</c:v>
                </c:pt>
                <c:pt idx="2">
                  <c:v>1125</c:v>
                </c:pt>
                <c:pt idx="3">
                  <c:v>1500</c:v>
                </c:pt>
                <c:pt idx="4">
                  <c:v>1875</c:v>
                </c:pt>
                <c:pt idx="5">
                  <c:v>2250</c:v>
                </c:pt>
                <c:pt idx="6">
                  <c:v>2625</c:v>
                </c:pt>
                <c:pt idx="7">
                  <c:v>3000</c:v>
                </c:pt>
                <c:pt idx="8">
                  <c:v>3375</c:v>
                </c:pt>
                <c:pt idx="9">
                  <c:v>3750</c:v>
                </c:pt>
                <c:pt idx="10">
                  <c:v>4125</c:v>
                </c:pt>
                <c:pt idx="11">
                  <c:v>4500</c:v>
                </c:pt>
                <c:pt idx="12">
                  <c:v>4875</c:v>
                </c:pt>
                <c:pt idx="13">
                  <c:v>5250</c:v>
                </c:pt>
                <c:pt idx="14">
                  <c:v>5625</c:v>
                </c:pt>
                <c:pt idx="15">
                  <c:v>6000</c:v>
                </c:pt>
                <c:pt idx="16">
                  <c:v>6375</c:v>
                </c:pt>
                <c:pt idx="17">
                  <c:v>6750</c:v>
                </c:pt>
                <c:pt idx="18">
                  <c:v>7125</c:v>
                </c:pt>
                <c:pt idx="19">
                  <c:v>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19-4F6C-805B-B492AA072F0A}"/>
            </c:ext>
          </c:extLst>
        </c:ser>
        <c:ser>
          <c:idx val="2"/>
          <c:order val="2"/>
          <c:tx>
            <c:strRef>
              <c:f>第4题!$I$4</c:f>
              <c:strCache>
                <c:ptCount val="1"/>
                <c:pt idx="0">
                  <c:v>25000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第4题!$F$5:$F$24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第4题!$I$5:$I$24</c:f>
              <c:numCache>
                <c:formatCode>0_ </c:formatCode>
                <c:ptCount val="20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25000</c:v>
                </c:pt>
                <c:pt idx="14">
                  <c:v>25000</c:v>
                </c:pt>
                <c:pt idx="15">
                  <c:v>25000</c:v>
                </c:pt>
                <c:pt idx="16">
                  <c:v>25000</c:v>
                </c:pt>
                <c:pt idx="17">
                  <c:v>25000</c:v>
                </c:pt>
                <c:pt idx="18">
                  <c:v>25000</c:v>
                </c:pt>
                <c:pt idx="19">
                  <c:v>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19-4F6C-805B-B492AA072F0A}"/>
            </c:ext>
          </c:extLst>
        </c:ser>
        <c:ser>
          <c:idx val="3"/>
          <c:order val="3"/>
          <c:tx>
            <c:strRef>
              <c:f>第4题!$J$3</c:f>
              <c:strCache>
                <c:ptCount val="1"/>
                <c:pt idx="0">
                  <c:v>年总成本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第4题!$F$5:$F$24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第4题!$J$5:$J$24</c:f>
              <c:numCache>
                <c:formatCode>0_ </c:formatCode>
                <c:ptCount val="20"/>
                <c:pt idx="0">
                  <c:v>75375</c:v>
                </c:pt>
                <c:pt idx="1">
                  <c:v>50750</c:v>
                </c:pt>
                <c:pt idx="2">
                  <c:v>42791.666666666664</c:v>
                </c:pt>
                <c:pt idx="3">
                  <c:v>39000</c:v>
                </c:pt>
                <c:pt idx="4">
                  <c:v>36875</c:v>
                </c:pt>
                <c:pt idx="5">
                  <c:v>35583.333333333328</c:v>
                </c:pt>
                <c:pt idx="6">
                  <c:v>34767.857142857145</c:v>
                </c:pt>
                <c:pt idx="7">
                  <c:v>34250</c:v>
                </c:pt>
                <c:pt idx="8">
                  <c:v>33930.555555555555</c:v>
                </c:pt>
                <c:pt idx="9">
                  <c:v>33750</c:v>
                </c:pt>
                <c:pt idx="10">
                  <c:v>33670.454545454544</c:v>
                </c:pt>
                <c:pt idx="11">
                  <c:v>33666.666666666664</c:v>
                </c:pt>
                <c:pt idx="12">
                  <c:v>33721.153846153844</c:v>
                </c:pt>
                <c:pt idx="13">
                  <c:v>33821.428571428572</c:v>
                </c:pt>
                <c:pt idx="14">
                  <c:v>33958.333333333336</c:v>
                </c:pt>
                <c:pt idx="15">
                  <c:v>34125</c:v>
                </c:pt>
                <c:pt idx="16">
                  <c:v>34316.176470588238</c:v>
                </c:pt>
                <c:pt idx="17">
                  <c:v>34527.777777777781</c:v>
                </c:pt>
                <c:pt idx="18">
                  <c:v>34756.57894736842</c:v>
                </c:pt>
                <c:pt idx="19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19-4F6C-805B-B492AA072F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(第4题!$F$32,第4题!$F$30)</c:f>
              <c:numCache>
                <c:formatCode>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(第4题!$G$32,第4题!$G$30)</c:f>
              <c:numCache>
                <c:formatCode>0</c:formatCode>
                <c:ptCount val="2"/>
                <c:pt idx="0">
                  <c:v>33660.254037844388</c:v>
                </c:pt>
                <c:pt idx="1">
                  <c:v>42791.666666666664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19-4F6C-805B-B492AA072F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(第4题!$F$31,第4题!$F$32)</c:f>
              <c:numCache>
                <c:formatCode>0</c:formatCode>
                <c:ptCount val="2"/>
                <c:pt idx="0" formatCode="0.00">
                  <c:v>11.547005383792516</c:v>
                </c:pt>
                <c:pt idx="1">
                  <c:v>3</c:v>
                </c:pt>
              </c:numCache>
            </c:numRef>
          </c:xVal>
          <c:yVal>
            <c:numRef>
              <c:f>(第4题!$G$31,第4题!$G$32)</c:f>
              <c:numCache>
                <c:formatCode>0</c:formatCode>
                <c:ptCount val="2"/>
                <c:pt idx="0">
                  <c:v>33660.254037844388</c:v>
                </c:pt>
                <c:pt idx="1">
                  <c:v>33660.254037844388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19-4F6C-805B-B492AA072F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(第4题!$F$31,第4题!$F$33)</c:f>
              <c:numCache>
                <c:formatCode>0</c:formatCode>
                <c:ptCount val="2"/>
                <c:pt idx="0" formatCode="0.00">
                  <c:v>11.547005383792516</c:v>
                </c:pt>
                <c:pt idx="1">
                  <c:v>3</c:v>
                </c:pt>
              </c:numCache>
            </c:numRef>
          </c:xVal>
          <c:yVal>
            <c:numRef>
              <c:f>(第4题!$G$31,第4题!$G$33)</c:f>
              <c:numCache>
                <c:formatCode>0</c:formatCode>
                <c:ptCount val="2"/>
                <c:pt idx="0">
                  <c:v>33660.254037844388</c:v>
                </c:pt>
                <c:pt idx="1">
                  <c:v>42791.666666666664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19-4F6C-805B-B492AA072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49135"/>
        <c:axId val="594738319"/>
      </c:scatterChart>
      <c:catAx>
        <c:axId val="59474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738319"/>
        <c:crosses val="autoZero"/>
        <c:auto val="1"/>
        <c:lblAlgn val="ctr"/>
        <c:lblOffset val="100"/>
        <c:noMultiLvlLbl val="0"/>
      </c:catAx>
      <c:valAx>
        <c:axId val="594738319"/>
        <c:scaling>
          <c:orientation val="minMax"/>
        </c:scaling>
        <c:delete val="0"/>
        <c:axPos val="l"/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749135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项目A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第5题!$G$4:$G$23</c:f>
              <c:numCache>
                <c:formatCode>0%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第5题!$H$4:$H$23</c:f>
              <c:numCache>
                <c:formatCode>0</c:formatCode>
                <c:ptCount val="20"/>
                <c:pt idx="0">
                  <c:v>226390.07109280396</c:v>
                </c:pt>
                <c:pt idx="1">
                  <c:v>194849.72025201796</c:v>
                </c:pt>
                <c:pt idx="2">
                  <c:v>165223.99972908793</c:v>
                </c:pt>
                <c:pt idx="3">
                  <c:v>137371.3517893164</c:v>
                </c:pt>
                <c:pt idx="4">
                  <c:v>111162.31061671989</c:v>
                </c:pt>
                <c:pt idx="5">
                  <c:v>86478.342833969742</c:v>
                </c:pt>
                <c:pt idx="6">
                  <c:v>63210.810542830615</c:v>
                </c:pt>
                <c:pt idx="7">
                  <c:v>41260.042802867014</c:v>
                </c:pt>
                <c:pt idx="8">
                  <c:v>20534.503209634451</c:v>
                </c:pt>
                <c:pt idx="9">
                  <c:v>950.04274630430155</c:v>
                </c:pt>
                <c:pt idx="10">
                  <c:v>-17570.771602907684</c:v>
                </c:pt>
                <c:pt idx="11">
                  <c:v>-35099.260845377401</c:v>
                </c:pt>
                <c:pt idx="12">
                  <c:v>-51701.177950002195</c:v>
                </c:pt>
                <c:pt idx="13">
                  <c:v>-67437.198296030227</c:v>
                </c:pt>
                <c:pt idx="14">
                  <c:v>-82363.362342535809</c:v>
                </c:pt>
                <c:pt idx="15">
                  <c:v>-96531.475595537515</c:v>
                </c:pt>
                <c:pt idx="16">
                  <c:v>-109989.47036734305</c:v>
                </c:pt>
                <c:pt idx="17">
                  <c:v>-122781.73331190116</c:v>
                </c:pt>
                <c:pt idx="18">
                  <c:v>-134949.40227127518</c:v>
                </c:pt>
                <c:pt idx="19">
                  <c:v>-146530.63557384541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9-4A3E-8E02-5DA7DE142260}"/>
            </c:ext>
          </c:extLst>
        </c:ser>
        <c:ser>
          <c:idx val="1"/>
          <c:order val="1"/>
          <c:tx>
            <c:v>项目B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第5题!$G$4:$G$23</c:f>
              <c:numCache>
                <c:formatCode>0%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第5题!$I$4:$I$23</c:f>
              <c:numCache>
                <c:formatCode>0</c:formatCode>
                <c:ptCount val="20"/>
                <c:pt idx="0">
                  <c:v>812666.08430482587</c:v>
                </c:pt>
                <c:pt idx="1">
                  <c:v>689505.03481897502</c:v>
                </c:pt>
                <c:pt idx="2">
                  <c:v>578936.17660025111</c:v>
                </c:pt>
                <c:pt idx="3">
                  <c:v>479568.04479740781</c:v>
                </c:pt>
                <c:pt idx="4">
                  <c:v>390174.2176341007</c:v>
                </c:pt>
                <c:pt idx="5">
                  <c:v>309672.42652692099</c:v>
                </c:pt>
                <c:pt idx="6">
                  <c:v>237106.47359534039</c:v>
                </c:pt>
                <c:pt idx="7">
                  <c:v>171630.55772279203</c:v>
                </c:pt>
                <c:pt idx="8">
                  <c:v>112495.66999874893</c:v>
                </c:pt>
                <c:pt idx="9">
                  <c:v>59037.769672820577</c:v>
                </c:pt>
                <c:pt idx="10">
                  <c:v>10667.49422297714</c:v>
                </c:pt>
                <c:pt idx="11">
                  <c:v>-33138.806943490927</c:v>
                </c:pt>
                <c:pt idx="12">
                  <c:v>-72846.895217118028</c:v>
                </c:pt>
                <c:pt idx="13">
                  <c:v>-108871.47619759722</c:v>
                </c:pt>
                <c:pt idx="14">
                  <c:v>-141582.17612329451</c:v>
                </c:pt>
                <c:pt idx="15">
                  <c:v>-171308.77500213345</c:v>
                </c:pt>
                <c:pt idx="16">
                  <c:v>-198345.79423630849</c:v>
                </c:pt>
                <c:pt idx="17">
                  <c:v>-222956.52297527151</c:v>
                </c:pt>
                <c:pt idx="18">
                  <c:v>-245376.5558473751</c:v>
                </c:pt>
                <c:pt idx="19">
                  <c:v>-265816.90480972367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39-4A3E-8E02-5DA7DE142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27392"/>
        <c:axId val="566029360"/>
      </c:scatterChart>
      <c:valAx>
        <c:axId val="56602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29360"/>
        <c:crosses val="autoZero"/>
        <c:crossBetween val="midCat"/>
      </c:valAx>
      <c:valAx>
        <c:axId val="5660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02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200次模拟中出现乘客无法乘机的概率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第7题!$G$9:$Q$9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xVal>
          <c:yVal>
            <c:numRef>
              <c:f>第7题!$G$10:$Q$10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1.4999999999999999E-2</c:v>
                </c:pt>
                <c:pt idx="4">
                  <c:v>0.03</c:v>
                </c:pt>
                <c:pt idx="5">
                  <c:v>0.06</c:v>
                </c:pt>
                <c:pt idx="6">
                  <c:v>0.08</c:v>
                </c:pt>
                <c:pt idx="7">
                  <c:v>0.21</c:v>
                </c:pt>
                <c:pt idx="8">
                  <c:v>0.24</c:v>
                </c:pt>
                <c:pt idx="9">
                  <c:v>0.38500000000000001</c:v>
                </c:pt>
                <c:pt idx="10">
                  <c:v>0.505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B-4544-B7A5-0A115C22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838216"/>
        <c:axId val="611833952"/>
      </c:scatterChart>
      <c:valAx>
        <c:axId val="61183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833952"/>
        <c:crosses val="autoZero"/>
        <c:crossBetween val="midCat"/>
      </c:valAx>
      <c:valAx>
        <c:axId val="6118339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83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7" fmlaLink="#REF!" max="10" page="10" val="10"/>
</file>

<file path=xl/ctrlProps/ctrlProp2.xml><?xml version="1.0" encoding="utf-8"?>
<formControlPr xmlns="http://schemas.microsoft.com/office/spreadsheetml/2009/9/main" objectType="Spin" dx="17" fmlaLink="#REF!" max="10" page="10" val="10"/>
</file>

<file path=xl/ctrlProps/ctrlProp3.xml><?xml version="1.0" encoding="utf-8"?>
<formControlPr xmlns="http://schemas.microsoft.com/office/spreadsheetml/2009/9/main" objectType="Spin" dx="22" fmlaLink="$D$7" max="20" min="2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19050</xdr:rowOff>
    </xdr:from>
    <xdr:to>
      <xdr:col>17</xdr:col>
      <xdr:colOff>0</xdr:colOff>
      <xdr:row>14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385435" y="19050"/>
              <a:ext cx="4871085" cy="303276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9525" cmpd="sng">
              <a:solidFill>
                <a:schemeClr val="bg1">
                  <a:lumMod val="6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第</a:t>
              </a:r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题 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单元格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C2:C21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保存着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某企业过去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个月上海地区保鲜盒的销量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。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现要求按照如下公式建立指数平滑模型：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+1</m:t>
                        </m:r>
                      </m:sub>
                    </m:sSub>
                    <m:r>
                      <a:rPr lang="en-US" altLang="zh-CN" sz="1100" b="0" i="0">
                        <a:solidFill>
                          <a:schemeClr val="dk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l-GR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/>
                        <a:ea typeface="Cambria Math" panose="02040503050406030204"/>
                        <a:cs typeface="+mn-cs"/>
                      </a:rPr>
                      <m:t>α</m:t>
                    </m:r>
                    <m:sSub>
                      <m:sSubPr>
                        <m:ctrlPr>
                          <a:rPr lang="el-GR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Cambria Math" panose="02040503050406030204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Cambria Math" panose="02040503050406030204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zh-CN" sz="1100" b="0" i="0">
                        <a:solidFill>
                          <a:schemeClr val="dk1"/>
                        </a:solidFill>
                        <a:effectLst/>
                        <a:latin typeface="Cambria Math" panose="02040503050406030204"/>
                        <a:ea typeface="Cambria Math" panose="02040503050406030204"/>
                        <a:cs typeface="+mn-cs"/>
                      </a:rPr>
                      <m:t>+(1−</m:t>
                    </m:r>
                    <m:r>
                      <m:rPr>
                        <m:sty m:val="p"/>
                      </m:rPr>
                      <a:rPr lang="el-GR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/>
                        <a:ea typeface="Cambria Math" panose="02040503050406030204"/>
                        <a:cs typeface="+mn-cs"/>
                      </a:rPr>
                      <m:t>α</m:t>
                    </m:r>
                    <m:r>
                      <a:rPr lang="en-US" altLang="zh-CN" sz="1100" b="0" i="1">
                        <a:solidFill>
                          <a:schemeClr val="dk1"/>
                        </a:solidFill>
                        <a:effectLst/>
                        <a:latin typeface="Cambria Math" panose="02040503050406030204"/>
                        <a:ea typeface="Cambria Math" panose="02040503050406030204"/>
                        <a:cs typeface="+mn-cs"/>
                      </a:rPr>
                      <m:t>)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Cambria Math" panose="02040503050406030204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/>
                            <a:ea typeface="Cambria Math" panose="02040503050406030204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绘制散点图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观察销量变化的规律；</a:t>
              </a: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针对在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中键入的任意的平滑常数（它可以是在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0.1~0.6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之间变化的任何数值）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D2:D21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中正确的位置上求出各月的指数平滑预测值；</a:t>
              </a: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计算销量与预测值的均方误差；</a:t>
              </a: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利用模拟运算表所得数据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G4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中求出使均方误差达到极小的最优平滑常数；</a:t>
              </a: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利用最优平滑常数预测第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个月的销量。</a:t>
              </a:r>
            </a:p>
            <a:p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5385435" y="19050"/>
              <a:ext cx="4871085" cy="303276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9525" cmpd="sng">
              <a:solidFill>
                <a:schemeClr val="bg1">
                  <a:lumMod val="6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第</a:t>
              </a:r>
              <a:r>
                <a:rPr lang="en-US" altLang="zh-CN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题 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单元格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C2:C21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保存着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某企业过去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个月上海地区保鲜盒的销量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。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现要求按照如下公式建立指数平滑模型：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𝐹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𝑡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l-GR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α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𝑌</a:t>
              </a:r>
              <a:r>
                <a:rPr lang="el-GR" altLang="zh-CN" sz="1100" b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/>
                  <a:cs typeface="+mn-cs"/>
                </a:rPr>
                <a:t>_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𝑡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+(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−</a:t>
              </a:r>
              <a:r>
                <a:rPr lang="el-GR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α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𝐹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/>
                  <a:cs typeface="+mn-cs"/>
                </a:rPr>
                <a:t>_</a:t>
              </a:r>
              <a:r>
                <a:rPr lang="en-US" altLang="zh-CN" sz="1100" b="0">
                  <a:solidFill>
                    <a:schemeClr val="dk1"/>
                  </a:solidFill>
                  <a:effectLst/>
                  <a:latin typeface="Cambria Math" panose="02040503050406030204"/>
                  <a:ea typeface="Cambria Math" panose="02040503050406030204"/>
                  <a:cs typeface="+mn-cs"/>
                </a:rPr>
                <a:t>𝑡</a:t>
              </a:r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绘制散点图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观察销量变化的规律；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针对在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中键入的任意的平滑常数（它可以是在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0.1~0.6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之间变化的任何数值）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D2:D21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中正确的位置上求出各月的指数平滑预测值；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计算销量与预测值的均方误差；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利用模拟运算表所得数据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在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G4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中求出使均方误差达到极小的最优平滑常数；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利用最优平滑常数预测第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21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个月的销量。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zh-CN" altLang="en-US" sz="1100"/>
            </a:p>
          </xdr:txBody>
        </xdr:sp>
      </mc:Fallback>
    </mc:AlternateContent>
    <xdr:clientData/>
  </xdr:twoCellAnchor>
  <xdr:twoCellAnchor>
    <xdr:from>
      <xdr:col>7</xdr:col>
      <xdr:colOff>204693</xdr:colOff>
      <xdr:row>14</xdr:row>
      <xdr:rowOff>186317</xdr:rowOff>
    </xdr:from>
    <xdr:to>
      <xdr:col>15</xdr:col>
      <xdr:colOff>249965</xdr:colOff>
      <xdr:row>28</xdr:row>
      <xdr:rowOff>159646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30479</xdr:colOff>
      <xdr:row>1</xdr:row>
      <xdr:rowOff>30481</xdr:rowOff>
    </xdr:from>
    <xdr:to>
      <xdr:col>18</xdr:col>
      <xdr:colOff>438149</xdr:colOff>
      <xdr:row>10</xdr:row>
      <xdr:rowOff>137160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6850379" y="396241"/>
          <a:ext cx="4110990" cy="1752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rgbClr val="000000"/>
          </a:solidFill>
          <a:miter lim="800000"/>
        </a:ln>
      </xdr:spPr>
      <xdr:txBody>
        <a:bodyPr vertOverflow="clip" wrap="square" lIns="82800" tIns="82800" rIns="90000" bIns="46800" anchor="t" upright="1"/>
        <a:lstStyle/>
        <a:p>
          <a:pPr rtl="0"/>
          <a:r>
            <a:rPr lang="zh-CN" altLang="zh-CN" sz="1100" b="1" i="0" baseline="0"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1" i="0" baseline="0"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某花生油生产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企业过去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个月的花生采购价格与月利润的数据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A1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B10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所示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。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请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建立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线性回归分析模型确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，要求：</a:t>
          </a:r>
          <a:endParaRPr lang="zh-CN" altLang="zh-CN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绘制散点图，观察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月利润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变化规律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函数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与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规划求解两种方法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求出回归方程的截距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与斜率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若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下个月的花生价格为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6.5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千元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吨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，估计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月利润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是多少？</a:t>
          </a:r>
          <a:endParaRPr lang="zh-CN" altLang="zh-CN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该模型的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平方各为多少？</a:t>
          </a:r>
          <a:endParaRPr lang="zh-CN" altLang="zh-CN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510540</xdr:colOff>
      <xdr:row>11</xdr:row>
      <xdr:rowOff>57150</xdr:rowOff>
    </xdr:from>
    <xdr:to>
      <xdr:col>19</xdr:col>
      <xdr:colOff>30480</xdr:colOff>
      <xdr:row>26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148083</xdr:colOff>
      <xdr:row>0</xdr:row>
      <xdr:rowOff>292790</xdr:rowOff>
    </xdr:from>
    <xdr:to>
      <xdr:col>19</xdr:col>
      <xdr:colOff>37481</xdr:colOff>
      <xdr:row>32</xdr:row>
      <xdr:rowOff>152722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6254380" y="292790"/>
          <a:ext cx="4306939" cy="5554337"/>
          <a:chOff x="5121251" y="3081762"/>
          <a:chExt cx="4733925" cy="5754636"/>
        </a:xfrm>
      </xdr:grpSpPr>
      <xdr:sp macro="" textlink="">
        <xdr:nvSpPr>
          <xdr:cNvPr id="10" name="Text Box 1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>
            <a:spLocks noChangeArrowheads="1"/>
          </xdr:cNvSpPr>
        </xdr:nvSpPr>
        <xdr:spPr>
          <a:xfrm>
            <a:off x="5121251" y="3081762"/>
            <a:ext cx="4733925" cy="564832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100" b="1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3</a:t>
            </a:r>
            <a:r>
              <a:rPr lang="zh-CN" altLang="en-US" sz="1100" b="1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题</a:t>
            </a:r>
            <a:r>
              <a:rPr lang="en-US" altLang="zh-CN" sz="1100" b="1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 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某公司需要一种零件</a:t>
            </a:r>
            <a:r>
              <a:rPr lang="zh-CN" altLang="en-US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，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有自制和外购两种方案可供选择。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此零件如果自制，单位变动成本为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12.8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元/件，固定成本为40,000元；如果外购，单件采购原价为26元。另外，采购量达到不同的折扣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阈限值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即可享受不同折扣优惠，见下表：</a:t>
            </a: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目前，公司对此零件的需求量为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40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00件，要求在本工作表中完成如下操作：</a:t>
            </a: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1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.</a:t>
            </a:r>
            <a:r>
              <a:rPr lang="zh-CN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当前需求量下外购对应的采购单价优惠折扣率为；</a:t>
            </a: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2.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计算</a:t>
            </a:r>
            <a:r>
              <a:rPr lang="zh-CN" altLang="zh-CN" sz="1100" b="0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当前需求量下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两个方案各自的总成本；</a:t>
            </a:r>
            <a:endParaRPr lang="en-US" altLang="zh-CN" sz="1100" b="0" i="0" u="none" strike="noStrike" baseline="0">
              <a:solidFill>
                <a:srgbClr val="000000"/>
              </a:solidFill>
              <a:latin typeface="+mn-ea"/>
              <a:ea typeface="+mn-ea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3.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利用模拟运算表</a:t>
            </a:r>
            <a:r>
              <a:rPr lang="zh-CN" altLang="en-US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，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分析当零件的需求量从</a:t>
            </a:r>
            <a:r>
              <a:rPr lang="en-US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3500</a:t>
            </a:r>
            <a:r>
              <a:rPr lang="zh-CN" altLang="en-US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件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变化到</a:t>
            </a:r>
            <a:r>
              <a:rPr lang="en-US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5500</a:t>
            </a:r>
            <a:r>
              <a:rPr lang="zh-CN" altLang="en-US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件</a:t>
            </a:r>
            <a:r>
              <a:rPr lang="zh-CN" altLang="zh-CN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时，两种方案各自总成本的变化情况</a:t>
            </a:r>
            <a:r>
              <a:rPr lang="zh-CN" altLang="en-US" sz="1100" b="0" i="0" baseline="0">
                <a:solidFill>
                  <a:schemeClr val="dk1"/>
                </a:solidFill>
                <a:latin typeface="+mn-ea"/>
                <a:ea typeface="+mn-ea"/>
                <a:cs typeface="+mn-cs"/>
              </a:rPr>
              <a:t>，并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+mn-ea"/>
                <a:ea typeface="+mn-ea"/>
                <a:cs typeface="Arial" panose="020B0604020202020204"/>
              </a:rPr>
              <a:t>绘制如下的自制与外购成本图。</a:t>
            </a:r>
            <a:endParaRPr lang="zh-CN" altLang="en-US" sz="1100" b="0">
              <a:latin typeface="+mn-ea"/>
              <a:ea typeface="+mn-ea"/>
            </a:endParaRPr>
          </a:p>
        </xdr:txBody>
      </xdr:sp>
      <xdr:pic>
        <xdr:nvPicPr>
          <xdr:cNvPr id="5" name="图片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6238271" y="3978848"/>
            <a:ext cx="1409700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图片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5304551" y="6331323"/>
            <a:ext cx="4343400" cy="2505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265255</xdr:colOff>
      <xdr:row>19</xdr:row>
      <xdr:rowOff>162049</xdr:rowOff>
    </xdr:from>
    <xdr:to>
      <xdr:col>11</xdr:col>
      <xdr:colOff>670368</xdr:colOff>
      <xdr:row>36</xdr:row>
      <xdr:rowOff>117679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</xdr:row>
          <xdr:rowOff>15240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</xdr:row>
          <xdr:rowOff>22860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13</xdr:col>
      <xdr:colOff>228600</xdr:colOff>
      <xdr:row>0</xdr:row>
      <xdr:rowOff>76200</xdr:rowOff>
    </xdr:from>
    <xdr:to>
      <xdr:col>21</xdr:col>
      <xdr:colOff>447675</xdr:colOff>
      <xdr:row>32</xdr:row>
      <xdr:rowOff>5715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8736106" y="76200"/>
          <a:ext cx="4916581" cy="5747609"/>
          <a:chOff x="4876800" y="4762500"/>
          <a:chExt cx="5324475" cy="5581650"/>
        </a:xfrm>
      </xdr:grpSpPr>
      <xdr:sp macro="" textlink="">
        <xdr:nvSpPr>
          <xdr:cNvPr id="8" name="Text Box 3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76800" y="4762500"/>
            <a:ext cx="5324475" cy="557212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ct val="1500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4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假设某种矿石的年需要量为1000吨，单位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年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储存成本为750元，一次订购的订货成本为50元，每吨运费为25元。请完成：</a:t>
            </a:r>
          </a:p>
          <a:p>
            <a:pPr algn="l" rtl="0">
              <a:lnSpc>
                <a:spcPct val="1500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、计算订货量为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吨时的年订货成本、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年储存成本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、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年运输成本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和年总成本；</a:t>
            </a:r>
          </a:p>
          <a:p>
            <a:pPr algn="l" rtl="0">
              <a:lnSpc>
                <a:spcPct val="1500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、计算经济订货量EOQ、以及EOQ下的年订货成本、年运输成本、年储存成本和年总成本；</a:t>
            </a:r>
          </a:p>
          <a:p>
            <a:pPr algn="l" rtl="0">
              <a:lnSpc>
                <a:spcPct val="1500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、绘制如下所示图表，添加三角形辅助线，表示当前任意订货量与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EOQ=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之间的订货数量之差和两者的成本之差。在图中添加一个调节订货量的数值调节钮，调节范围为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～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20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，步长为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；</a:t>
            </a:r>
            <a:endPara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ct val="150000"/>
              </a:lnSpc>
              <a:defRPr sz="1000"/>
            </a:pP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利用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作图时使用的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模拟运算表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，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采用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查表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插值法计算出经济订货量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EOQ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、以及EOQ下的年订货成本、年储存成本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年运输成本和年总成本的值。</a:t>
            </a:r>
            <a:endPara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10" name="图片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62575" y="7562850"/>
            <a:ext cx="4391025" cy="2781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167251</xdr:colOff>
      <xdr:row>27</xdr:row>
      <xdr:rowOff>8403</xdr:rowOff>
    </xdr:from>
    <xdr:to>
      <xdr:col>13</xdr:col>
      <xdr:colOff>376519</xdr:colOff>
      <xdr:row>43</xdr:row>
      <xdr:rowOff>160242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777240</xdr:colOff>
          <xdr:row>29</xdr:row>
          <xdr:rowOff>121920</xdr:rowOff>
        </xdr:from>
        <xdr:to>
          <xdr:col>11</xdr:col>
          <xdr:colOff>251460</xdr:colOff>
          <xdr:row>31</xdr:row>
          <xdr:rowOff>68580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0.67791</cdr:x>
      <cdr:y>0.10361</cdr:y>
    </cdr:from>
    <cdr:to>
      <cdr:x>0.87999</cdr:x>
      <cdr:y>0.19389</cdr:y>
    </cdr:to>
    <cdr:sp macro="" textlink="第4题!$D$7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244996B-6054-4DEC-8B53-D2C551AF45F0}"/>
            </a:ext>
          </a:extLst>
        </cdr:cNvPr>
        <cdr:cNvSpPr txBox="1"/>
      </cdr:nvSpPr>
      <cdr:spPr>
        <a:xfrm xmlns:a="http://schemas.openxmlformats.org/drawingml/2006/main">
          <a:off x="4441670" y="299021"/>
          <a:ext cx="1324024" cy="2605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E62AA41-C41B-4C82-A27C-B7A386EF0961}" type="TxLink">
            <a:rPr lang="en-US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3</a:t>
          </a:fld>
          <a:endParaRPr lang="zh-CN" alt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78740</xdr:colOff>
      <xdr:row>5</xdr:row>
      <xdr:rowOff>15875</xdr:rowOff>
    </xdr:from>
    <xdr:to>
      <xdr:col>22</xdr:col>
      <xdr:colOff>606425</xdr:colOff>
      <xdr:row>33</xdr:row>
      <xdr:rowOff>6350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5900420" y="930275"/>
          <a:ext cx="5747385" cy="5111115"/>
          <a:chOff x="1261065" y="772365"/>
          <a:chExt cx="6372225" cy="5057775"/>
        </a:xfrm>
      </xdr:grpSpPr>
      <xdr:sp macro="" textlink="">
        <xdr:nvSpPr>
          <xdr:cNvPr id="6" name="Text Box 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>
            <a:spLocks noChangeArrowheads="1"/>
          </xdr:cNvSpPr>
        </xdr:nvSpPr>
        <xdr:spPr>
          <a:xfrm>
            <a:off x="1261065" y="772365"/>
            <a:ext cx="6372225" cy="505777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400"/>
              </a:lnSpc>
              <a:defRPr sz="1000"/>
            </a:pPr>
            <a:r>
              <a:rPr lang="zh-CN" altLang="zh-CN" sz="1100" b="1" i="0" baseline="0"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 b="1" i="0" baseline="0"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 i="0" baseline="0"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两个投资项目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A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和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B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，初始投资额都是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50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万元，项目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A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在 随后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8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年的每年末可获得的收入如下表所示。</a:t>
            </a:r>
          </a:p>
          <a:p>
            <a:pPr algn="l" rtl="0">
              <a:lnSpc>
                <a:spcPts val="14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l" rtl="0">
              <a:lnSpc>
                <a:spcPts val="14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l" rtl="0">
              <a:lnSpc>
                <a:spcPts val="1400"/>
              </a:lnSpc>
              <a:defRPr sz="1000"/>
            </a:pPr>
            <a:endParaRPr lang="en-US" altLang="zh-CN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l" rtl="0">
              <a:lnSpc>
                <a:spcPts val="14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l" rtl="0">
              <a:lnSpc>
                <a:spcPts val="14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项目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B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则只在第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10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年末一次性获得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145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万元的收入。假定贴现率为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9%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，要求：</a:t>
            </a:r>
          </a:p>
          <a:p>
            <a:pPr algn="l" rtl="0">
              <a:lnSpc>
                <a:spcPts val="14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、计算两个投资项目的净现值；</a:t>
            </a:r>
          </a:p>
          <a:p>
            <a:pPr algn="l" rtl="0">
              <a:lnSpc>
                <a:spcPts val="14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、计算两个投资项目的内部报酬率；</a:t>
            </a:r>
            <a:endParaRPr lang="en-US" altLang="zh-CN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rtl="0"/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、利用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IF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函数在单元格内得出“项目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较优”或“项目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较优”或“相等”的结论；</a:t>
            </a:r>
            <a:endParaRPr lang="zh-CN" altLang="zh-CN" sz="1100">
              <a:effectLst/>
            </a:endParaRPr>
          </a:p>
          <a:p>
            <a:pPr rtl="0"/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、利用模拟运算表生成自变量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-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函数对照表，用查表加内插的方法再次求出使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两个项目的净现值相等的贴现率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（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贴现率的变化范围为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1%—20%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，间隔为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1%</a:t>
            </a:r>
            <a:r>
              <a:rPr lang="zh-CN" altLang="en-US" sz="1100" b="0" i="0" baseline="0">
                <a:effectLst/>
                <a:latin typeface="+mn-lt"/>
                <a:ea typeface="+mn-ea"/>
                <a:cs typeface="+mn-cs"/>
              </a:rPr>
              <a:t>）；</a:t>
            </a:r>
            <a:endParaRPr lang="zh-CN" altLang="zh-CN" sz="1100">
              <a:effectLst/>
            </a:endParaRPr>
          </a:p>
          <a:p>
            <a:pPr rtl="0"/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、制作项目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和项目</a:t>
            </a:r>
            <a:r>
              <a:rPr lang="en-US" altLang="zh-CN" sz="1100" b="0" i="0" baseline="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 b="0" i="0" baseline="0">
                <a:effectLst/>
                <a:latin typeface="+mn-lt"/>
                <a:ea typeface="+mn-ea"/>
                <a:cs typeface="+mn-cs"/>
              </a:rPr>
              <a:t>随贴现率变化的图形。</a:t>
            </a:r>
            <a:endParaRPr lang="zh-CN" altLang="zh-CN" sz="1100">
              <a:effectLst/>
            </a:endParaRPr>
          </a:p>
          <a:p>
            <a:pPr algn="l" rtl="0">
              <a:lnSpc>
                <a:spcPts val="14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675339" y="1220716"/>
            <a:ext cx="5146188" cy="63429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34159" y="3208478"/>
            <a:ext cx="4912096" cy="2404306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137160</xdr:colOff>
      <xdr:row>29</xdr:row>
      <xdr:rowOff>91440</xdr:rowOff>
    </xdr:from>
    <xdr:to>
      <xdr:col>19</xdr:col>
      <xdr:colOff>182880</xdr:colOff>
      <xdr:row>44</xdr:row>
      <xdr:rowOff>91440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0</xdr:row>
      <xdr:rowOff>95250</xdr:rowOff>
    </xdr:from>
    <xdr:to>
      <xdr:col>17</xdr:col>
      <xdr:colOff>323850</xdr:colOff>
      <xdr:row>20</xdr:row>
      <xdr:rowOff>114300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5076825" y="95250"/>
          <a:ext cx="4985385" cy="3684270"/>
          <a:chOff x="0" y="1905000"/>
          <a:chExt cx="5534025" cy="346710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/>
        </xdr:nvSpPr>
        <xdr:spPr>
          <a:xfrm>
            <a:off x="0" y="1905000"/>
            <a:ext cx="5534025" cy="34671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r>
              <a:rPr lang="zh-CN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某化工厂生产两种用于轮船的黏合剂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。这两种黏合剂的强度不同，所需的加工时间也不同。生产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需要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分钟，生产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需要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分钟。这两种黏合剂都以一种树脂作为原料，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升树脂可以制造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，或者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。树脂的保质期是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周，目前树脂的库存为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升。正常工作下每周有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个工作日，每个工作日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个小时正常工作（注：每天超过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小时算作加班，必须先保证每天正常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小时工作）。工厂期望在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周内达到以下目标：保持工厂满负荷运转，即保证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周内每周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天、每天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小时正常工作基础上再加班若干分钟；至少生产黏合剂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A100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升和黏合剂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B120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升。黏合剂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和黏合剂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的每升单位利润分别为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升树脂全部使用完的前提下，如何安排黏合剂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的生产量及平均每天加班工时（分钟），使得总利润最大。要求：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．在本工作表中设计决策变量和计算公式，建立求使得总利润最大的的解黏合剂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的生产量及平均每天加班工时（分钟）的规划求解模型；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．将求解模型保存到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开始的区域中。</a:t>
            </a:r>
          </a:p>
          <a:p>
            <a:endParaRPr lang="zh-CN" altLang="en-US" sz="1100"/>
          </a:p>
        </xdr:txBody>
      </xdr:sp>
      <xdr:pic>
        <xdr:nvPicPr>
          <xdr:cNvPr id="8" name="图片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152525" y="4324350"/>
            <a:ext cx="3345930" cy="95439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276225</xdr:colOff>
      <xdr:row>0</xdr:row>
      <xdr:rowOff>95250</xdr:rowOff>
    </xdr:from>
    <xdr:to>
      <xdr:col>17</xdr:col>
      <xdr:colOff>323850</xdr:colOff>
      <xdr:row>20</xdr:row>
      <xdr:rowOff>114300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076825" y="95250"/>
          <a:ext cx="4985385" cy="3684270"/>
          <a:chOff x="0" y="1905000"/>
          <a:chExt cx="5534025" cy="3467100"/>
        </a:xfrm>
      </xdr:grpSpPr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/>
        </xdr:nvSpPr>
        <xdr:spPr>
          <a:xfrm>
            <a:off x="0" y="1905000"/>
            <a:ext cx="5534025" cy="34671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r>
              <a:rPr lang="zh-CN" altLang="zh-CN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某化工厂生产两种用于轮船的黏合剂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。这两种黏合剂的强度不同，所需的加工时间也不同。生产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需要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分钟，生产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需要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分钟。这两种黏合剂都以一种树脂作为原料，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升树脂可以制造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，或者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。树脂的保质期是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周，目前树脂的库存为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升。正常工作下每周有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个工作日，每个工作日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个小时正常工作（注：每天超过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小时算作加班，必须先保证每天正常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小时工作）。工厂期望在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周内达到以下目标：保持工厂满负荷运转，即保证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周内每周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天、每天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小时正常工作基础上再加班若干分钟；至少生产黏合剂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A100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升和黏合剂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B120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升。黏合剂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和黏合剂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的每升单位利润分别为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元。在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升树脂全部使用完的前提下，如何安排黏合剂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的生产量及平均每天加班工时（分钟），使得总利润最大。要求：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．在本工作表中设计决策变量和计算公式，建立求使得总利润最大的的解黏合剂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的生产量及平均每天加班工时（分钟）的规划求解模型；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．将求解模型保存到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开始的区域中。</a:t>
            </a:r>
          </a:p>
          <a:p>
            <a:endParaRPr lang="zh-CN" altLang="en-US" sz="1100"/>
          </a:p>
        </xdr:txBody>
      </xdr:sp>
      <xdr:pic>
        <xdr:nvPicPr>
          <xdr:cNvPr id="9" name="图片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2525" y="4324350"/>
            <a:ext cx="3345930" cy="95439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25</xdr:col>
      <xdr:colOff>133350</xdr:colOff>
      <xdr:row>17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8686800" y="0"/>
          <a:ext cx="3790950" cy="34251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航空公司发现，提前购买机票的乘客中会有一部分乘客临时改乘其他航班的飞机。为了获得更多利润，航空公司总会对各航班多卖些机票（超过实际座位数），使各航班能够满座飞行。但这也带来一定的风险——会有些乘客即使购买了机票也无法乘坐该航班的飞机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若该航空公司规定一个航班可多售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张机票。单张机票带来的利润可能是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元，得到各利润的概率分别为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。因为机票多售造成乘客无法登机带来的损失为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元。一个航班乘客改乘其他航班的人数服从均值为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、标准差为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的正态分布。采用模拟的方法完成以下计算，要求：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计算一个航班多售带来的利润与乘客无法乘机带来的损失之差；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利用模拟运算表进行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次模拟实验，根据实验结果制作图表，反映如果多售机票的张数为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20,22,24,26......40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张，那么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次实验中出现有票乘客无法乘机现象的频率是多少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1381699</xdr:colOff>
      <xdr:row>15</xdr:row>
      <xdr:rowOff>134038</xdr:rowOff>
    </xdr:from>
    <xdr:to>
      <xdr:col>5</xdr:col>
      <xdr:colOff>1592855</xdr:colOff>
      <xdr:row>30</xdr:row>
      <xdr:rowOff>123021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31532;3&#314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27169;&#25311;&#35797;&#21367;11-&#21442;&#32771;&#31572;&#2669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Set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awdata\&#31532;3&#3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200502\D&#20989;&#25968;&#32771;&#3906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32771;&#35797;&#25104;&#32489;\20050622-0397\&#31572;&#26696;\S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5745;&#31639;&#26426;&#24212;&#29992;\&#32771;&#39064;\2003-1\2002&#31179;&#35745;&#31639;&#26426;&#32771;&#35797;(C)&#31572;&#2669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ang\Quantitative%20method\Simulation\Simulation%20example%201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aching\2001Fall\&#36741;&#20462;\&#35797;&#39064;&#31572;&#266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\2004&#26149;\&#26399;&#26411;&#32771;&#21367;\2004&#26149;&#35745;&#31639;&#26426;&#24212;&#29992;&#39064;&#30446;&#19982;&#35299;&#31572;\&#32463;&#27982;&#35746;&#36135;&#37327;&#32771;&#390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03_2004_2&#32771;&#35797;&#35797;&#39064;&#31532;2&#31295;\2003-2004&#31532;2&#23398;&#26399;&#36130;&#22823;&#35745;&#31639;&#26426;&#24212;&#29992;&#35797;&#39064;\2004-06&#36879;&#35270;&#34920;&#19982;D&#20989;&#25968;&#32771;&#3906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l\yy2\&#32771;&#39064;\2001-07&#32771;&#39064;\Exam1\Exam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745;&#31639;&#26426;&#24212;&#29992;\01-02(1)\2001&#31179;&#35745;&#31639;&#26426;&#24212;&#29992;&#35838;&#31243;&#32771;&#35797;&#39064;A&#31572;&#26696;&#24102;&#35780;&#20998;&#32454;&#2101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21382;&#24180;&#32771;&#35797;&#39064;&#30446;\200906\&#21407;E\lesson\&#35745;&#31639;&#26426;&#24212;&#29992;\&#21508;&#24180;&#32771;&#39064;\2008-2009-2\2008-2009-2&#35745;&#31639;&#26426;&#24212;&#29992;_&#31532;3&#39064;\&#21629;&#39064;&#20934;&#22791;\&#20363;4-08%20&#24037;&#21378;&#32435;&#31246;&#23395;&#33410;&#25351;&#25968;&#39044;&#27979;&#27169;&#22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"/>
  <sheetViews>
    <sheetView topLeftCell="D1" zoomScale="85" workbookViewId="0">
      <selection activeCell="U13" sqref="U13"/>
    </sheetView>
  </sheetViews>
  <sheetFormatPr defaultColWidth="9" defaultRowHeight="15.6"/>
  <cols>
    <col min="1" max="1" width="2.77734375" style="97" customWidth="1"/>
    <col min="2" max="2" width="9" style="97"/>
    <col min="3" max="3" width="11" style="97" customWidth="1"/>
    <col min="4" max="4" width="15.109375" style="128" customWidth="1"/>
    <col min="5" max="5" width="3" style="97" customWidth="1"/>
    <col min="6" max="6" width="13" style="97" customWidth="1"/>
    <col min="7" max="7" width="13.33203125" style="97" bestFit="1" customWidth="1"/>
    <col min="8" max="8" width="3" style="97" customWidth="1"/>
    <col min="9" max="16384" width="9" style="97"/>
  </cols>
  <sheetData>
    <row r="1" spans="2:10">
      <c r="B1" s="98" t="s">
        <v>0</v>
      </c>
      <c r="C1" s="98" t="s">
        <v>1</v>
      </c>
      <c r="D1" s="126" t="s">
        <v>2</v>
      </c>
      <c r="E1" s="99"/>
      <c r="F1" s="100" t="s">
        <v>3</v>
      </c>
      <c r="G1" s="101">
        <v>0.2</v>
      </c>
      <c r="J1"/>
    </row>
    <row r="2" spans="2:10">
      <c r="B2" s="98">
        <v>1</v>
      </c>
      <c r="C2" s="102">
        <v>10552</v>
      </c>
      <c r="D2" s="127"/>
      <c r="E2" s="99"/>
      <c r="F2" s="100" t="s">
        <v>4</v>
      </c>
      <c r="G2" s="103">
        <f>SUMXMY2(C3:C21,D3:D21)/COUNT(C3:C21)</f>
        <v>999824.76903265028</v>
      </c>
    </row>
    <row r="3" spans="2:10">
      <c r="B3" s="98">
        <v>2</v>
      </c>
      <c r="C3" s="102">
        <v>11693</v>
      </c>
      <c r="D3" s="127">
        <f>C2</f>
        <v>10552</v>
      </c>
      <c r="E3" s="99"/>
      <c r="F3" s="99"/>
      <c r="G3" s="99"/>
    </row>
    <row r="4" spans="2:10">
      <c r="B4" s="98">
        <v>3</v>
      </c>
      <c r="C4" s="102">
        <v>12437</v>
      </c>
      <c r="D4" s="127">
        <f>(1-$G$4)*D3+$G$4*C3</f>
        <v>10786.886424002834</v>
      </c>
      <c r="E4" s="99"/>
      <c r="F4" s="100" t="s">
        <v>5</v>
      </c>
      <c r="G4" s="103">
        <v>0.20586014373605099</v>
      </c>
    </row>
    <row r="5" spans="2:10">
      <c r="B5" s="98">
        <v>4</v>
      </c>
      <c r="C5" s="102">
        <v>11472</v>
      </c>
      <c r="D5" s="127">
        <f t="shared" ref="D5:D21" si="0">(1-$G$4)*D4+$G$4*C4</f>
        <v>11126.579041938419</v>
      </c>
      <c r="E5" s="99"/>
      <c r="F5" s="100" t="str">
        <f>"MSE"</f>
        <v>MSE</v>
      </c>
      <c r="G5" s="104">
        <f>SUMXMY2(C3:C21,D3:D21)/COUNT(C3:C21)</f>
        <v>999824.76903265028</v>
      </c>
    </row>
    <row r="6" spans="2:10">
      <c r="B6" s="98">
        <v>5</v>
      </c>
      <c r="C6" s="102">
        <v>11156</v>
      </c>
      <c r="D6" s="127">
        <f t="shared" si="0"/>
        <v>11197.68745001442</v>
      </c>
      <c r="E6" s="99"/>
      <c r="F6" s="100" t="s">
        <v>6</v>
      </c>
      <c r="G6" s="104"/>
    </row>
    <row r="7" spans="2:10">
      <c r="B7" s="98">
        <v>6</v>
      </c>
      <c r="C7" s="102">
        <v>12950</v>
      </c>
      <c r="D7" s="127">
        <f t="shared" si="0"/>
        <v>11189.105665562463</v>
      </c>
      <c r="E7" s="99"/>
      <c r="F7" s="105"/>
      <c r="G7" s="105"/>
    </row>
    <row r="8" spans="2:10" ht="28.5" customHeight="1">
      <c r="B8" s="98">
        <v>7</v>
      </c>
      <c r="C8" s="102">
        <v>10880</v>
      </c>
      <c r="D8" s="127">
        <f t="shared" si="0"/>
        <v>11551.603626353772</v>
      </c>
      <c r="E8" s="99"/>
      <c r="F8" s="150" t="s">
        <v>7</v>
      </c>
      <c r="G8" s="150"/>
    </row>
    <row r="9" spans="2:10">
      <c r="B9" s="98">
        <v>8</v>
      </c>
      <c r="C9" s="102">
        <v>10708</v>
      </c>
      <c r="D9" s="127">
        <f t="shared" si="0"/>
        <v>11413.347207298932</v>
      </c>
      <c r="E9" s="99"/>
      <c r="F9" s="99"/>
      <c r="G9" s="106">
        <f>G5</f>
        <v>999824.76903265028</v>
      </c>
    </row>
    <row r="10" spans="2:10">
      <c r="B10" s="98">
        <v>9</v>
      </c>
      <c r="C10" s="102">
        <v>12489</v>
      </c>
      <c r="D10" s="127">
        <f t="shared" si="0"/>
        <v>11268.144329820552</v>
      </c>
      <c r="E10" s="99"/>
      <c r="F10" s="107">
        <v>0.1</v>
      </c>
      <c r="G10" s="106">
        <f t="dataTable" ref="G10:G15" dt2D="0" dtr="0" r1="G4"/>
        <v>1043061.6014365152</v>
      </c>
    </row>
    <row r="11" spans="2:10">
      <c r="B11" s="98">
        <v>10</v>
      </c>
      <c r="C11" s="102">
        <v>11310</v>
      </c>
      <c r="D11" s="127">
        <f t="shared" si="0"/>
        <v>11519.469853564668</v>
      </c>
      <c r="E11" s="99"/>
      <c r="F11" s="108">
        <v>0.2</v>
      </c>
      <c r="G11" s="109">
        <v>999894.40674203041</v>
      </c>
    </row>
    <row r="12" spans="2:10">
      <c r="B12" s="98">
        <v>11</v>
      </c>
      <c r="C12" s="102">
        <v>10734</v>
      </c>
      <c r="D12" s="127">
        <f t="shared" si="0"/>
        <v>11476.348359401474</v>
      </c>
      <c r="E12" s="99"/>
      <c r="F12" s="108">
        <v>0.3</v>
      </c>
      <c r="G12" s="109">
        <v>1013525.1365257857</v>
      </c>
    </row>
    <row r="13" spans="2:10">
      <c r="B13" s="98">
        <v>12</v>
      </c>
      <c r="C13" s="102">
        <v>11449</v>
      </c>
      <c r="D13" s="127">
        <f t="shared" si="0"/>
        <v>11323.528419432867</v>
      </c>
      <c r="E13" s="99"/>
      <c r="F13" s="108">
        <v>0.4</v>
      </c>
      <c r="G13" s="109">
        <v>1052301.6106089361</v>
      </c>
    </row>
    <row r="14" spans="2:10">
      <c r="B14" s="98">
        <v>13</v>
      </c>
      <c r="C14" s="102">
        <v>9781</v>
      </c>
      <c r="D14" s="127">
        <f t="shared" si="0"/>
        <v>11349.358017043207</v>
      </c>
      <c r="E14" s="99"/>
      <c r="F14" s="108">
        <v>0.5</v>
      </c>
      <c r="G14" s="109">
        <v>1115131.8608359678</v>
      </c>
    </row>
    <row r="15" spans="2:10">
      <c r="B15" s="98">
        <v>14</v>
      </c>
      <c r="C15" s="102">
        <v>11865</v>
      </c>
      <c r="D15" s="127">
        <f t="shared" si="0"/>
        <v>11026.495610225105</v>
      </c>
      <c r="E15" s="99"/>
      <c r="F15" s="110">
        <v>0.6</v>
      </c>
      <c r="G15" s="111">
        <v>1202647.1433004793</v>
      </c>
    </row>
    <row r="16" spans="2:10">
      <c r="B16" s="98">
        <v>15</v>
      </c>
      <c r="C16" s="102">
        <v>9990</v>
      </c>
      <c r="D16" s="127">
        <f t="shared" si="0"/>
        <v>11199.110244427475</v>
      </c>
      <c r="E16" s="99"/>
      <c r="F16" s="99"/>
      <c r="G16" s="99"/>
    </row>
    <row r="17" spans="2:7">
      <c r="B17" s="98">
        <v>16</v>
      </c>
      <c r="C17" s="102">
        <v>11850</v>
      </c>
      <c r="D17" s="127">
        <f t="shared" si="0"/>
        <v>10950.202635716903</v>
      </c>
      <c r="E17" s="99"/>
      <c r="F17" s="99"/>
      <c r="G17" s="99"/>
    </row>
    <row r="18" spans="2:7">
      <c r="B18" s="98">
        <v>17</v>
      </c>
      <c r="C18" s="102">
        <v>10774</v>
      </c>
      <c r="D18" s="127">
        <f t="shared" si="0"/>
        <v>11135.435050461543</v>
      </c>
      <c r="E18" s="99"/>
      <c r="F18" s="99"/>
      <c r="G18" s="99"/>
    </row>
    <row r="19" spans="2:7">
      <c r="B19" s="98">
        <v>18</v>
      </c>
      <c r="C19" s="102">
        <v>12668</v>
      </c>
      <c r="D19" s="127">
        <f t="shared" si="0"/>
        <v>11061.029979022283</v>
      </c>
      <c r="E19" s="99"/>
      <c r="F19" s="99"/>
      <c r="G19" s="99"/>
    </row>
    <row r="20" spans="2:7">
      <c r="B20" s="98">
        <v>19</v>
      </c>
      <c r="C20" s="102">
        <v>12091</v>
      </c>
      <c r="D20" s="127">
        <f t="shared" si="0"/>
        <v>11391.84105852028</v>
      </c>
      <c r="E20" s="99"/>
      <c r="F20" s="99"/>
      <c r="G20" s="99"/>
    </row>
    <row r="21" spans="2:7">
      <c r="B21" s="98">
        <v>20</v>
      </c>
      <c r="C21" s="102">
        <v>11789</v>
      </c>
      <c r="D21" s="127">
        <f t="shared" si="0"/>
        <v>11535.770018707641</v>
      </c>
      <c r="E21" s="99"/>
      <c r="F21" s="112"/>
      <c r="G21" s="99"/>
    </row>
    <row r="22" spans="2:7">
      <c r="B22" s="98">
        <v>21</v>
      </c>
      <c r="C22" s="113"/>
      <c r="D22" s="127">
        <f>(1-$G$4)*D21+$G$4*C21</f>
        <v>11587.899979054764</v>
      </c>
      <c r="E22" s="99"/>
      <c r="F22" s="99"/>
      <c r="G22" s="99"/>
    </row>
  </sheetData>
  <mergeCells count="1">
    <mergeCell ref="F8:G8"/>
  </mergeCells>
  <phoneticPr fontId="19" type="noConversion"/>
  <printOptions headings="1"/>
  <pageMargins left="0.70866141732283505" right="0.70866141732283505" top="0.74803149606299202" bottom="0.74803149606299202" header="0.31496062992126" footer="0.31496062992126"/>
  <pageSetup paperSize="9" orientation="portrait" blackAndWhite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4"/>
  <sheetViews>
    <sheetView topLeftCell="E1" workbookViewId="0">
      <selection activeCell="H11" sqref="H11"/>
    </sheetView>
  </sheetViews>
  <sheetFormatPr defaultColWidth="9" defaultRowHeight="14.4"/>
  <cols>
    <col min="1" max="1" width="2" style="78" customWidth="1"/>
    <col min="2" max="2" width="11.77734375" style="78" customWidth="1"/>
    <col min="3" max="3" width="9.88671875" style="78" customWidth="1"/>
    <col min="4" max="4" width="9.21875" style="78" customWidth="1"/>
    <col min="5" max="5" width="10" style="78" customWidth="1"/>
    <col min="6" max="6" width="2" style="78" customWidth="1"/>
    <col min="7" max="7" width="16.44140625" style="78" customWidth="1"/>
    <col min="8" max="8" width="18.33203125" style="78" bestFit="1" customWidth="1"/>
    <col min="9" max="9" width="1.77734375" style="78" customWidth="1"/>
    <col min="10" max="10" width="2" style="78" customWidth="1"/>
    <col min="11" max="11" width="1.77734375" style="78" customWidth="1"/>
    <col min="12" max="16384" width="9" style="78"/>
  </cols>
  <sheetData>
    <row r="1" spans="2:8" ht="29.25" customHeight="1">
      <c r="B1" s="79" t="s">
        <v>8</v>
      </c>
      <c r="C1" s="79" t="s">
        <v>9</v>
      </c>
      <c r="D1" s="80" t="s">
        <v>10</v>
      </c>
      <c r="E1" s="80" t="s">
        <v>11</v>
      </c>
      <c r="G1" s="151" t="s">
        <v>12</v>
      </c>
      <c r="H1" s="151"/>
    </row>
    <row r="2" spans="2:8">
      <c r="B2" s="81">
        <v>7.18</v>
      </c>
      <c r="C2" s="82">
        <v>2100</v>
      </c>
      <c r="D2" s="83">
        <f>B2*$H$3+$H$2</f>
        <v>2579.3404126737514</v>
      </c>
      <c r="E2" s="84">
        <f>$H$9*B2+$H$8</f>
        <v>2579.4664049438361</v>
      </c>
      <c r="G2" s="85" t="s">
        <v>13</v>
      </c>
      <c r="H2" s="86">
        <f>INTERCEPT(C2:C10,B2:B10)</f>
        <v>53136.879910213247</v>
      </c>
    </row>
    <row r="3" spans="2:8">
      <c r="B3" s="87">
        <v>6.66</v>
      </c>
      <c r="C3" s="88">
        <v>5800</v>
      </c>
      <c r="D3" s="83">
        <f t="shared" ref="D3:D11" si="0">B3*$H$3+$H$2</f>
        <v>6240.8892342225663</v>
      </c>
      <c r="E3" s="84">
        <f t="shared" ref="E3:E11" si="1">$H$9*B3+$H$8</f>
        <v>6240.9205793037618</v>
      </c>
      <c r="G3" s="85" t="s">
        <v>14</v>
      </c>
      <c r="H3" s="86">
        <f>SLOPE(C2:C10,B2:B10)</f>
        <v>-7041.4400414400416</v>
      </c>
    </row>
    <row r="4" spans="2:8">
      <c r="B4" s="87">
        <v>6.66</v>
      </c>
      <c r="C4" s="88">
        <v>8500</v>
      </c>
      <c r="D4" s="83">
        <f t="shared" si="0"/>
        <v>6240.8892342225663</v>
      </c>
      <c r="E4" s="84">
        <f t="shared" si="1"/>
        <v>6240.9205793037618</v>
      </c>
      <c r="G4" s="85" t="s">
        <v>4</v>
      </c>
      <c r="H4" s="86">
        <f>SUMXMY2(C2:C10,D2:D10)/COUNT(C2:C10)</f>
        <v>2011519.8614828226</v>
      </c>
    </row>
    <row r="5" spans="2:8">
      <c r="B5" s="87">
        <v>6.57</v>
      </c>
      <c r="C5" s="88">
        <v>6800</v>
      </c>
      <c r="D5" s="83">
        <f t="shared" si="0"/>
        <v>6874.61883795217</v>
      </c>
      <c r="E5" s="84">
        <f t="shared" si="1"/>
        <v>6874.6338017891321</v>
      </c>
      <c r="G5" s="85" t="s">
        <v>15</v>
      </c>
      <c r="H5" s="86">
        <f>CORREL(D2:D10,C2:C10)</f>
        <v>0.88260740846355845</v>
      </c>
    </row>
    <row r="6" spans="2:8">
      <c r="B6" s="87">
        <v>6.38</v>
      </c>
      <c r="C6" s="88">
        <v>7400</v>
      </c>
      <c r="D6" s="83">
        <f t="shared" si="0"/>
        <v>8212.492445825781</v>
      </c>
      <c r="E6" s="84">
        <f t="shared" si="1"/>
        <v>8212.4728270360283</v>
      </c>
    </row>
    <row r="7" spans="2:8">
      <c r="B7" s="87">
        <v>6.22</v>
      </c>
      <c r="C7" s="88">
        <v>9300</v>
      </c>
      <c r="D7" s="83">
        <f t="shared" si="0"/>
        <v>9339.1228524561884</v>
      </c>
      <c r="E7" s="84">
        <f t="shared" si="1"/>
        <v>9339.0741114544726</v>
      </c>
      <c r="G7" s="151" t="s">
        <v>16</v>
      </c>
      <c r="H7" s="151"/>
    </row>
    <row r="8" spans="2:8">
      <c r="B8" s="87">
        <v>6.12</v>
      </c>
      <c r="C8" s="88">
        <v>7200</v>
      </c>
      <c r="D8" s="83">
        <f t="shared" si="0"/>
        <v>10043.266856600188</v>
      </c>
      <c r="E8" s="84">
        <f t="shared" si="1"/>
        <v>10043.199914215991</v>
      </c>
      <c r="G8" s="85" t="s">
        <v>13</v>
      </c>
      <c r="H8" s="86">
        <v>53135.699043221299</v>
      </c>
    </row>
    <row r="9" spans="2:8">
      <c r="B9" s="87">
        <v>6.08</v>
      </c>
      <c r="C9" s="88">
        <v>12200</v>
      </c>
      <c r="D9" s="83">
        <f t="shared" si="0"/>
        <v>10324.924458257796</v>
      </c>
      <c r="E9" s="84">
        <f t="shared" si="1"/>
        <v>10324.850235320606</v>
      </c>
      <c r="G9" s="85" t="s">
        <v>14</v>
      </c>
      <c r="H9" s="86">
        <v>-7041.2580276152457</v>
      </c>
    </row>
    <row r="10" spans="2:8">
      <c r="B10" s="89">
        <v>5.85</v>
      </c>
      <c r="C10" s="90">
        <v>12500</v>
      </c>
      <c r="D10" s="83">
        <f t="shared" si="0"/>
        <v>11944.455667789007</v>
      </c>
      <c r="E10" s="84">
        <f t="shared" si="1"/>
        <v>11944.339581672117</v>
      </c>
      <c r="G10" s="85" t="s">
        <v>4</v>
      </c>
      <c r="H10" s="114">
        <f>SUMXMY2(C2:C10,E2:E10)/COUNT(C2:C10)</f>
        <v>2011519.8664039199</v>
      </c>
    </row>
    <row r="11" spans="2:8">
      <c r="B11" s="91">
        <v>6.5</v>
      </c>
      <c r="D11" s="92">
        <f t="shared" si="0"/>
        <v>7367.5196408529737</v>
      </c>
      <c r="E11" s="93">
        <f t="shared" si="1"/>
        <v>7367.5218637221988</v>
      </c>
      <c r="G11" s="85" t="s">
        <v>15</v>
      </c>
      <c r="H11" s="86">
        <f>CORREL(C2:C10,D2:D10)^2</f>
        <v>0.77899583747475876</v>
      </c>
    </row>
    <row r="13" spans="2:8">
      <c r="G13" s="85" t="s">
        <v>17</v>
      </c>
      <c r="H13" s="94">
        <v>6.5</v>
      </c>
    </row>
    <row r="14" spans="2:8">
      <c r="G14" s="85" t="s">
        <v>18</v>
      </c>
      <c r="H14" s="94">
        <v>7367.5</v>
      </c>
    </row>
    <row r="31" spans="4:4">
      <c r="D31" s="95"/>
    </row>
    <row r="32" spans="4:4">
      <c r="D32" s="96"/>
    </row>
    <row r="33" spans="4:4">
      <c r="D33" s="96"/>
    </row>
    <row r="34" spans="4:4">
      <c r="D34" s="96"/>
    </row>
  </sheetData>
  <mergeCells count="2">
    <mergeCell ref="G1:H1"/>
    <mergeCell ref="G7:H7"/>
  </mergeCells>
  <phoneticPr fontId="19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9"/>
  <sheetViews>
    <sheetView showGridLines="0" zoomScale="74" workbookViewId="0">
      <selection activeCell="E8" sqref="E8"/>
    </sheetView>
  </sheetViews>
  <sheetFormatPr defaultColWidth="9" defaultRowHeight="13.5" customHeight="1"/>
  <cols>
    <col min="1" max="1" width="2.77734375" style="56" customWidth="1"/>
    <col min="2" max="2" width="2" style="56" customWidth="1"/>
    <col min="3" max="3" width="13.33203125" style="56" customWidth="1"/>
    <col min="4" max="5" width="11.77734375" style="57" bestFit="1" customWidth="1"/>
    <col min="6" max="7" width="2.44140625" style="56" customWidth="1"/>
    <col min="8" max="8" width="8" style="56" customWidth="1"/>
    <col min="9" max="9" width="12.33203125" style="56" bestFit="1" customWidth="1"/>
    <col min="10" max="10" width="9.5546875" style="56" bestFit="1" customWidth="1"/>
    <col min="11" max="11" width="2.33203125" style="57" customWidth="1"/>
    <col min="12" max="13" width="10.33203125" style="56" customWidth="1"/>
    <col min="14" max="14" width="2.21875" style="56" customWidth="1"/>
    <col min="15" max="15" width="5.44140625" style="56" customWidth="1"/>
    <col min="16" max="16" width="19.33203125" style="56" customWidth="1"/>
    <col min="17" max="16384" width="9" style="56"/>
  </cols>
  <sheetData>
    <row r="1" spans="2:16" ht="28.5" customHeight="1">
      <c r="B1" s="58"/>
      <c r="C1" s="58"/>
      <c r="D1" s="59"/>
      <c r="E1" s="59"/>
      <c r="F1" s="58"/>
    </row>
    <row r="2" spans="2:16" ht="28.8">
      <c r="B2" s="58"/>
      <c r="C2" s="60" t="s">
        <v>19</v>
      </c>
      <c r="D2" s="61">
        <v>4000</v>
      </c>
      <c r="E2" s="59"/>
      <c r="F2" s="58"/>
      <c r="H2" s="62" t="s">
        <v>20</v>
      </c>
      <c r="I2" s="68" t="s">
        <v>21</v>
      </c>
    </row>
    <row r="3" spans="2:16" ht="13.5" customHeight="1">
      <c r="B3" s="58"/>
      <c r="C3" s="58"/>
      <c r="D3" s="59"/>
      <c r="E3" s="59"/>
      <c r="F3" s="58"/>
      <c r="H3" s="63">
        <v>0</v>
      </c>
      <c r="I3" s="74">
        <v>0</v>
      </c>
      <c r="N3" s="71"/>
    </row>
    <row r="4" spans="2:16" ht="13.5" customHeight="1">
      <c r="B4" s="58"/>
      <c r="C4" s="60"/>
      <c r="D4" s="64" t="s">
        <v>22</v>
      </c>
      <c r="E4" s="64" t="s">
        <v>23</v>
      </c>
      <c r="F4" s="58"/>
      <c r="H4" s="63">
        <v>4000</v>
      </c>
      <c r="I4" s="74">
        <v>0.1</v>
      </c>
    </row>
    <row r="5" spans="2:16" ht="13.5" customHeight="1">
      <c r="B5" s="58"/>
      <c r="C5" s="60" t="s">
        <v>24</v>
      </c>
      <c r="D5" s="65">
        <v>40000</v>
      </c>
      <c r="E5" s="66"/>
      <c r="F5" s="58"/>
      <c r="H5" s="63">
        <v>4500</v>
      </c>
      <c r="I5" s="74">
        <v>0.18</v>
      </c>
    </row>
    <row r="6" spans="2:16" ht="13.5" customHeight="1">
      <c r="B6" s="58"/>
      <c r="C6" s="60" t="s">
        <v>25</v>
      </c>
      <c r="D6" s="67">
        <v>12.8</v>
      </c>
      <c r="E6" s="66"/>
      <c r="F6" s="58"/>
      <c r="H6" s="63">
        <v>5000</v>
      </c>
      <c r="I6" s="74">
        <v>0.2</v>
      </c>
    </row>
    <row r="7" spans="2:16" ht="13.5" customHeight="1">
      <c r="B7" s="58"/>
      <c r="C7" s="60" t="s">
        <v>26</v>
      </c>
      <c r="D7" s="66"/>
      <c r="E7" s="65">
        <v>26</v>
      </c>
      <c r="F7" s="58"/>
    </row>
    <row r="8" spans="2:16" ht="13.5" customHeight="1">
      <c r="B8" s="58"/>
      <c r="C8" s="68" t="s">
        <v>21</v>
      </c>
      <c r="D8" s="66"/>
      <c r="E8" s="69">
        <f>IF(D2&lt;H4,0,IF(D2&lt;H5,I4,IF(D2&lt;H6,I5,IF(D2&gt;H6,I6))))</f>
        <v>0.1</v>
      </c>
      <c r="F8" s="58"/>
      <c r="H8" s="152" t="s">
        <v>27</v>
      </c>
      <c r="I8" s="152"/>
      <c r="J8" s="152"/>
    </row>
    <row r="9" spans="2:16" ht="14.4">
      <c r="B9" s="58"/>
      <c r="C9" s="60" t="s">
        <v>28</v>
      </c>
      <c r="D9" s="70">
        <f>D6*D2+D5</f>
        <v>91200</v>
      </c>
      <c r="E9" s="70">
        <f>E7*(1-E8)*D2</f>
        <v>93600.000000000015</v>
      </c>
      <c r="F9" s="58"/>
      <c r="G9" s="71"/>
      <c r="H9" s="152"/>
      <c r="I9" s="152"/>
      <c r="J9" s="152"/>
    </row>
    <row r="10" spans="2:16" ht="13.5" customHeight="1">
      <c r="B10" s="58"/>
      <c r="C10" s="58"/>
      <c r="D10" s="59"/>
      <c r="E10" s="59"/>
      <c r="F10" s="58"/>
      <c r="H10" s="72" t="str">
        <f>C2</f>
        <v>需求量</v>
      </c>
      <c r="I10" s="75" t="str">
        <f>D4</f>
        <v>自制</v>
      </c>
      <c r="J10" s="75" t="str">
        <f>E4</f>
        <v>外购</v>
      </c>
    </row>
    <row r="11" spans="2:16" ht="13.5" customHeight="1">
      <c r="H11" s="57"/>
      <c r="I11" s="76">
        <f>D9</f>
        <v>91200</v>
      </c>
      <c r="J11" s="76">
        <f>E9</f>
        <v>93600.000000000015</v>
      </c>
    </row>
    <row r="12" spans="2:16" ht="13.5" customHeight="1">
      <c r="H12" s="140">
        <v>3500</v>
      </c>
      <c r="I12" s="77">
        <f t="dataTable" ref="I12:J19" dt2D="0" dtr="0" r1="D2"/>
        <v>84800</v>
      </c>
      <c r="J12" s="77">
        <v>91000</v>
      </c>
    </row>
    <row r="13" spans="2:16" ht="13.5" customHeight="1">
      <c r="D13" s="56"/>
      <c r="E13" s="72"/>
      <c r="H13" s="140">
        <v>3999.9989999999998</v>
      </c>
      <c r="I13" s="77">
        <v>91199.987200000003</v>
      </c>
      <c r="J13" s="77">
        <v>103999.97399999999</v>
      </c>
      <c r="K13" s="56"/>
    </row>
    <row r="14" spans="2:16" ht="13.5" customHeight="1">
      <c r="D14" s="56"/>
      <c r="E14" s="72"/>
      <c r="H14" s="140">
        <v>4000</v>
      </c>
      <c r="I14" s="77">
        <v>91200</v>
      </c>
      <c r="J14" s="77">
        <v>93600.000000000015</v>
      </c>
      <c r="K14" s="56"/>
    </row>
    <row r="15" spans="2:16" ht="13.5" customHeight="1">
      <c r="B15" s="73"/>
      <c r="D15" s="56"/>
      <c r="H15" s="140">
        <v>4499.9989999999998</v>
      </c>
      <c r="I15" s="77">
        <v>97599.987200000003</v>
      </c>
      <c r="J15" s="77">
        <v>105299.97660000001</v>
      </c>
      <c r="K15" s="56"/>
      <c r="P15" s="71"/>
    </row>
    <row r="16" spans="2:16" ht="13.5" customHeight="1">
      <c r="H16" s="140">
        <v>4500.0001000000002</v>
      </c>
      <c r="I16" s="77">
        <v>97600.001279999997</v>
      </c>
      <c r="J16" s="77">
        <v>95940.002132000009</v>
      </c>
      <c r="K16" s="56"/>
    </row>
    <row r="17" spans="4:11" ht="13.5" customHeight="1">
      <c r="H17" s="140">
        <v>4999.9989999999998</v>
      </c>
      <c r="I17" s="77">
        <v>103999.9872</v>
      </c>
      <c r="J17" s="77">
        <v>106599.97868</v>
      </c>
      <c r="K17" s="56"/>
    </row>
    <row r="18" spans="4:11" ht="13.5" customHeight="1">
      <c r="D18" s="72"/>
      <c r="E18" s="56"/>
      <c r="H18" s="140">
        <v>5000.0001000000002</v>
      </c>
      <c r="I18" s="77">
        <v>104000.00128</v>
      </c>
      <c r="J18" s="77">
        <v>104000.00208000001</v>
      </c>
      <c r="K18" s="56"/>
    </row>
    <row r="19" spans="4:11" ht="13.5" customHeight="1">
      <c r="H19" s="140">
        <v>5500</v>
      </c>
      <c r="I19" s="77">
        <v>110400</v>
      </c>
      <c r="J19" s="77">
        <v>114400</v>
      </c>
      <c r="K19" s="56"/>
    </row>
  </sheetData>
  <mergeCells count="1">
    <mergeCell ref="H8:J9"/>
  </mergeCells>
  <phoneticPr fontId="19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horizontalDpi="1200" verticalDpi="12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3"/>
  <sheetViews>
    <sheetView topLeftCell="A12" zoomScale="85" zoomScaleNormal="85" workbookViewId="0">
      <selection activeCell="L20" sqref="L20"/>
    </sheetView>
  </sheetViews>
  <sheetFormatPr defaultColWidth="8.77734375" defaultRowHeight="13.2" customHeight="1"/>
  <cols>
    <col min="1" max="1" width="1.109375" style="44" customWidth="1"/>
    <col min="2" max="2" width="1.6640625" style="44" customWidth="1"/>
    <col min="3" max="3" width="18.33203125" style="133" customWidth="1"/>
    <col min="4" max="4" width="12.77734375" style="44" bestFit="1" customWidth="1"/>
    <col min="5" max="5" width="2.33203125" style="44" customWidth="1"/>
    <col min="6" max="6" width="9.77734375" style="44" customWidth="1"/>
    <col min="7" max="8" width="10.44140625" style="44" bestFit="1" customWidth="1"/>
    <col min="9" max="10" width="11.5546875" style="44" bestFit="1" customWidth="1"/>
    <col min="11" max="11" width="9.44140625" style="44" bestFit="1" customWidth="1"/>
    <col min="12" max="12" width="18.21875" style="44" customWidth="1"/>
    <col min="13" max="13" width="6.44140625" style="44" bestFit="1" customWidth="1"/>
    <col min="14" max="14" width="10.44140625" style="44" bestFit="1" customWidth="1"/>
    <col min="15" max="15" width="5.44140625" style="44" bestFit="1" customWidth="1"/>
    <col min="16" max="255" width="8.77734375" style="44"/>
    <col min="256" max="256" width="1.109375" style="44" customWidth="1"/>
    <col min="257" max="257" width="2" style="44" customWidth="1"/>
    <col min="258" max="258" width="18.77734375" style="44" customWidth="1"/>
    <col min="259" max="259" width="19" style="44" customWidth="1"/>
    <col min="260" max="260" width="2.88671875" style="44" customWidth="1"/>
    <col min="261" max="261" width="13.109375" style="44" bestFit="1" customWidth="1"/>
    <col min="262" max="511" width="8.77734375" style="44"/>
    <col min="512" max="512" width="1.109375" style="44" customWidth="1"/>
    <col min="513" max="513" width="2" style="44" customWidth="1"/>
    <col min="514" max="514" width="18.77734375" style="44" customWidth="1"/>
    <col min="515" max="515" width="19" style="44" customWidth="1"/>
    <col min="516" max="516" width="2.88671875" style="44" customWidth="1"/>
    <col min="517" max="517" width="13.109375" style="44" bestFit="1" customWidth="1"/>
    <col min="518" max="767" width="8.77734375" style="44"/>
    <col min="768" max="768" width="1.109375" style="44" customWidth="1"/>
    <col min="769" max="769" width="2" style="44" customWidth="1"/>
    <col min="770" max="770" width="18.77734375" style="44" customWidth="1"/>
    <col min="771" max="771" width="19" style="44" customWidth="1"/>
    <col min="772" max="772" width="2.88671875" style="44" customWidth="1"/>
    <col min="773" max="773" width="13.109375" style="44" bestFit="1" customWidth="1"/>
    <col min="774" max="1023" width="8.77734375" style="44"/>
    <col min="1024" max="1024" width="1.109375" style="44" customWidth="1"/>
    <col min="1025" max="1025" width="2" style="44" customWidth="1"/>
    <col min="1026" max="1026" width="18.77734375" style="44" customWidth="1"/>
    <col min="1027" max="1027" width="19" style="44" customWidth="1"/>
    <col min="1028" max="1028" width="2.88671875" style="44" customWidth="1"/>
    <col min="1029" max="1029" width="13.109375" style="44" bestFit="1" customWidth="1"/>
    <col min="1030" max="1279" width="8.77734375" style="44"/>
    <col min="1280" max="1280" width="1.109375" style="44" customWidth="1"/>
    <col min="1281" max="1281" width="2" style="44" customWidth="1"/>
    <col min="1282" max="1282" width="18.77734375" style="44" customWidth="1"/>
    <col min="1283" max="1283" width="19" style="44" customWidth="1"/>
    <col min="1284" max="1284" width="2.88671875" style="44" customWidth="1"/>
    <col min="1285" max="1285" width="13.109375" style="44" bestFit="1" customWidth="1"/>
    <col min="1286" max="1535" width="8.77734375" style="44"/>
    <col min="1536" max="1536" width="1.109375" style="44" customWidth="1"/>
    <col min="1537" max="1537" width="2" style="44" customWidth="1"/>
    <col min="1538" max="1538" width="18.77734375" style="44" customWidth="1"/>
    <col min="1539" max="1539" width="19" style="44" customWidth="1"/>
    <col min="1540" max="1540" width="2.88671875" style="44" customWidth="1"/>
    <col min="1541" max="1541" width="13.109375" style="44" bestFit="1" customWidth="1"/>
    <col min="1542" max="1791" width="8.77734375" style="44"/>
    <col min="1792" max="1792" width="1.109375" style="44" customWidth="1"/>
    <col min="1793" max="1793" width="2" style="44" customWidth="1"/>
    <col min="1794" max="1794" width="18.77734375" style="44" customWidth="1"/>
    <col min="1795" max="1795" width="19" style="44" customWidth="1"/>
    <col min="1796" max="1796" width="2.88671875" style="44" customWidth="1"/>
    <col min="1797" max="1797" width="13.109375" style="44" bestFit="1" customWidth="1"/>
    <col min="1798" max="2047" width="8.77734375" style="44"/>
    <col min="2048" max="2048" width="1.109375" style="44" customWidth="1"/>
    <col min="2049" max="2049" width="2" style="44" customWidth="1"/>
    <col min="2050" max="2050" width="18.77734375" style="44" customWidth="1"/>
    <col min="2051" max="2051" width="19" style="44" customWidth="1"/>
    <col min="2052" max="2052" width="2.88671875" style="44" customWidth="1"/>
    <col min="2053" max="2053" width="13.109375" style="44" bestFit="1" customWidth="1"/>
    <col min="2054" max="2303" width="8.77734375" style="44"/>
    <col min="2304" max="2304" width="1.109375" style="44" customWidth="1"/>
    <col min="2305" max="2305" width="2" style="44" customWidth="1"/>
    <col min="2306" max="2306" width="18.77734375" style="44" customWidth="1"/>
    <col min="2307" max="2307" width="19" style="44" customWidth="1"/>
    <col min="2308" max="2308" width="2.88671875" style="44" customWidth="1"/>
    <col min="2309" max="2309" width="13.109375" style="44" bestFit="1" customWidth="1"/>
    <col min="2310" max="2559" width="8.77734375" style="44"/>
    <col min="2560" max="2560" width="1.109375" style="44" customWidth="1"/>
    <col min="2561" max="2561" width="2" style="44" customWidth="1"/>
    <col min="2562" max="2562" width="18.77734375" style="44" customWidth="1"/>
    <col min="2563" max="2563" width="19" style="44" customWidth="1"/>
    <col min="2564" max="2564" width="2.88671875" style="44" customWidth="1"/>
    <col min="2565" max="2565" width="13.109375" style="44" bestFit="1" customWidth="1"/>
    <col min="2566" max="2815" width="8.77734375" style="44"/>
    <col min="2816" max="2816" width="1.109375" style="44" customWidth="1"/>
    <col min="2817" max="2817" width="2" style="44" customWidth="1"/>
    <col min="2818" max="2818" width="18.77734375" style="44" customWidth="1"/>
    <col min="2819" max="2819" width="19" style="44" customWidth="1"/>
    <col min="2820" max="2820" width="2.88671875" style="44" customWidth="1"/>
    <col min="2821" max="2821" width="13.109375" style="44" bestFit="1" customWidth="1"/>
    <col min="2822" max="3071" width="8.77734375" style="44"/>
    <col min="3072" max="3072" width="1.109375" style="44" customWidth="1"/>
    <col min="3073" max="3073" width="2" style="44" customWidth="1"/>
    <col min="3074" max="3074" width="18.77734375" style="44" customWidth="1"/>
    <col min="3075" max="3075" width="19" style="44" customWidth="1"/>
    <col min="3076" max="3076" width="2.88671875" style="44" customWidth="1"/>
    <col min="3077" max="3077" width="13.109375" style="44" bestFit="1" customWidth="1"/>
    <col min="3078" max="3327" width="8.77734375" style="44"/>
    <col min="3328" max="3328" width="1.109375" style="44" customWidth="1"/>
    <col min="3329" max="3329" width="2" style="44" customWidth="1"/>
    <col min="3330" max="3330" width="18.77734375" style="44" customWidth="1"/>
    <col min="3331" max="3331" width="19" style="44" customWidth="1"/>
    <col min="3332" max="3332" width="2.88671875" style="44" customWidth="1"/>
    <col min="3333" max="3333" width="13.109375" style="44" bestFit="1" customWidth="1"/>
    <col min="3334" max="3583" width="8.77734375" style="44"/>
    <col min="3584" max="3584" width="1.109375" style="44" customWidth="1"/>
    <col min="3585" max="3585" width="2" style="44" customWidth="1"/>
    <col min="3586" max="3586" width="18.77734375" style="44" customWidth="1"/>
    <col min="3587" max="3587" width="19" style="44" customWidth="1"/>
    <col min="3588" max="3588" width="2.88671875" style="44" customWidth="1"/>
    <col min="3589" max="3589" width="13.109375" style="44" bestFit="1" customWidth="1"/>
    <col min="3590" max="3839" width="8.77734375" style="44"/>
    <col min="3840" max="3840" width="1.109375" style="44" customWidth="1"/>
    <col min="3841" max="3841" width="2" style="44" customWidth="1"/>
    <col min="3842" max="3842" width="18.77734375" style="44" customWidth="1"/>
    <col min="3843" max="3843" width="19" style="44" customWidth="1"/>
    <col min="3844" max="3844" width="2.88671875" style="44" customWidth="1"/>
    <col min="3845" max="3845" width="13.109375" style="44" bestFit="1" customWidth="1"/>
    <col min="3846" max="4095" width="8.77734375" style="44"/>
    <col min="4096" max="4096" width="1.109375" style="44" customWidth="1"/>
    <col min="4097" max="4097" width="2" style="44" customWidth="1"/>
    <col min="4098" max="4098" width="18.77734375" style="44" customWidth="1"/>
    <col min="4099" max="4099" width="19" style="44" customWidth="1"/>
    <col min="4100" max="4100" width="2.88671875" style="44" customWidth="1"/>
    <col min="4101" max="4101" width="13.109375" style="44" bestFit="1" customWidth="1"/>
    <col min="4102" max="4351" width="8.77734375" style="44"/>
    <col min="4352" max="4352" width="1.109375" style="44" customWidth="1"/>
    <col min="4353" max="4353" width="2" style="44" customWidth="1"/>
    <col min="4354" max="4354" width="18.77734375" style="44" customWidth="1"/>
    <col min="4355" max="4355" width="19" style="44" customWidth="1"/>
    <col min="4356" max="4356" width="2.88671875" style="44" customWidth="1"/>
    <col min="4357" max="4357" width="13.109375" style="44" bestFit="1" customWidth="1"/>
    <col min="4358" max="4607" width="8.77734375" style="44"/>
    <col min="4608" max="4608" width="1.109375" style="44" customWidth="1"/>
    <col min="4609" max="4609" width="2" style="44" customWidth="1"/>
    <col min="4610" max="4610" width="18.77734375" style="44" customWidth="1"/>
    <col min="4611" max="4611" width="19" style="44" customWidth="1"/>
    <col min="4612" max="4612" width="2.88671875" style="44" customWidth="1"/>
    <col min="4613" max="4613" width="13.109375" style="44" bestFit="1" customWidth="1"/>
    <col min="4614" max="4863" width="8.77734375" style="44"/>
    <col min="4864" max="4864" width="1.109375" style="44" customWidth="1"/>
    <col min="4865" max="4865" width="2" style="44" customWidth="1"/>
    <col min="4866" max="4866" width="18.77734375" style="44" customWidth="1"/>
    <col min="4867" max="4867" width="19" style="44" customWidth="1"/>
    <col min="4868" max="4868" width="2.88671875" style="44" customWidth="1"/>
    <col min="4869" max="4869" width="13.109375" style="44" bestFit="1" customWidth="1"/>
    <col min="4870" max="5119" width="8.77734375" style="44"/>
    <col min="5120" max="5120" width="1.109375" style="44" customWidth="1"/>
    <col min="5121" max="5121" width="2" style="44" customWidth="1"/>
    <col min="5122" max="5122" width="18.77734375" style="44" customWidth="1"/>
    <col min="5123" max="5123" width="19" style="44" customWidth="1"/>
    <col min="5124" max="5124" width="2.88671875" style="44" customWidth="1"/>
    <col min="5125" max="5125" width="13.109375" style="44" bestFit="1" customWidth="1"/>
    <col min="5126" max="5375" width="8.77734375" style="44"/>
    <col min="5376" max="5376" width="1.109375" style="44" customWidth="1"/>
    <col min="5377" max="5377" width="2" style="44" customWidth="1"/>
    <col min="5378" max="5378" width="18.77734375" style="44" customWidth="1"/>
    <col min="5379" max="5379" width="19" style="44" customWidth="1"/>
    <col min="5380" max="5380" width="2.88671875" style="44" customWidth="1"/>
    <col min="5381" max="5381" width="13.109375" style="44" bestFit="1" customWidth="1"/>
    <col min="5382" max="5631" width="8.77734375" style="44"/>
    <col min="5632" max="5632" width="1.109375" style="44" customWidth="1"/>
    <col min="5633" max="5633" width="2" style="44" customWidth="1"/>
    <col min="5634" max="5634" width="18.77734375" style="44" customWidth="1"/>
    <col min="5635" max="5635" width="19" style="44" customWidth="1"/>
    <col min="5636" max="5636" width="2.88671875" style="44" customWidth="1"/>
    <col min="5637" max="5637" width="13.109375" style="44" bestFit="1" customWidth="1"/>
    <col min="5638" max="5887" width="8.77734375" style="44"/>
    <col min="5888" max="5888" width="1.109375" style="44" customWidth="1"/>
    <col min="5889" max="5889" width="2" style="44" customWidth="1"/>
    <col min="5890" max="5890" width="18.77734375" style="44" customWidth="1"/>
    <col min="5891" max="5891" width="19" style="44" customWidth="1"/>
    <col min="5892" max="5892" width="2.88671875" style="44" customWidth="1"/>
    <col min="5893" max="5893" width="13.109375" style="44" bestFit="1" customWidth="1"/>
    <col min="5894" max="6143" width="8.77734375" style="44"/>
    <col min="6144" max="6144" width="1.109375" style="44" customWidth="1"/>
    <col min="6145" max="6145" width="2" style="44" customWidth="1"/>
    <col min="6146" max="6146" width="18.77734375" style="44" customWidth="1"/>
    <col min="6147" max="6147" width="19" style="44" customWidth="1"/>
    <col min="6148" max="6148" width="2.88671875" style="44" customWidth="1"/>
    <col min="6149" max="6149" width="13.109375" style="44" bestFit="1" customWidth="1"/>
    <col min="6150" max="6399" width="8.77734375" style="44"/>
    <col min="6400" max="6400" width="1.109375" style="44" customWidth="1"/>
    <col min="6401" max="6401" width="2" style="44" customWidth="1"/>
    <col min="6402" max="6402" width="18.77734375" style="44" customWidth="1"/>
    <col min="6403" max="6403" width="19" style="44" customWidth="1"/>
    <col min="6404" max="6404" width="2.88671875" style="44" customWidth="1"/>
    <col min="6405" max="6405" width="13.109375" style="44" bestFit="1" customWidth="1"/>
    <col min="6406" max="6655" width="8.77734375" style="44"/>
    <col min="6656" max="6656" width="1.109375" style="44" customWidth="1"/>
    <col min="6657" max="6657" width="2" style="44" customWidth="1"/>
    <col min="6658" max="6658" width="18.77734375" style="44" customWidth="1"/>
    <col min="6659" max="6659" width="19" style="44" customWidth="1"/>
    <col min="6660" max="6660" width="2.88671875" style="44" customWidth="1"/>
    <col min="6661" max="6661" width="13.109375" style="44" bestFit="1" customWidth="1"/>
    <col min="6662" max="6911" width="8.77734375" style="44"/>
    <col min="6912" max="6912" width="1.109375" style="44" customWidth="1"/>
    <col min="6913" max="6913" width="2" style="44" customWidth="1"/>
    <col min="6914" max="6914" width="18.77734375" style="44" customWidth="1"/>
    <col min="6915" max="6915" width="19" style="44" customWidth="1"/>
    <col min="6916" max="6916" width="2.88671875" style="44" customWidth="1"/>
    <col min="6917" max="6917" width="13.109375" style="44" bestFit="1" customWidth="1"/>
    <col min="6918" max="7167" width="8.77734375" style="44"/>
    <col min="7168" max="7168" width="1.109375" style="44" customWidth="1"/>
    <col min="7169" max="7169" width="2" style="44" customWidth="1"/>
    <col min="7170" max="7170" width="18.77734375" style="44" customWidth="1"/>
    <col min="7171" max="7171" width="19" style="44" customWidth="1"/>
    <col min="7172" max="7172" width="2.88671875" style="44" customWidth="1"/>
    <col min="7173" max="7173" width="13.109375" style="44" bestFit="1" customWidth="1"/>
    <col min="7174" max="7423" width="8.77734375" style="44"/>
    <col min="7424" max="7424" width="1.109375" style="44" customWidth="1"/>
    <col min="7425" max="7425" width="2" style="44" customWidth="1"/>
    <col min="7426" max="7426" width="18.77734375" style="44" customWidth="1"/>
    <col min="7427" max="7427" width="19" style="44" customWidth="1"/>
    <col min="7428" max="7428" width="2.88671875" style="44" customWidth="1"/>
    <col min="7429" max="7429" width="13.109375" style="44" bestFit="1" customWidth="1"/>
    <col min="7430" max="7679" width="8.77734375" style="44"/>
    <col min="7680" max="7680" width="1.109375" style="44" customWidth="1"/>
    <col min="7681" max="7681" width="2" style="44" customWidth="1"/>
    <col min="7682" max="7682" width="18.77734375" style="44" customWidth="1"/>
    <col min="7683" max="7683" width="19" style="44" customWidth="1"/>
    <col min="7684" max="7684" width="2.88671875" style="44" customWidth="1"/>
    <col min="7685" max="7685" width="13.109375" style="44" bestFit="1" customWidth="1"/>
    <col min="7686" max="7935" width="8.77734375" style="44"/>
    <col min="7936" max="7936" width="1.109375" style="44" customWidth="1"/>
    <col min="7937" max="7937" width="2" style="44" customWidth="1"/>
    <col min="7938" max="7938" width="18.77734375" style="44" customWidth="1"/>
    <col min="7939" max="7939" width="19" style="44" customWidth="1"/>
    <col min="7940" max="7940" width="2.88671875" style="44" customWidth="1"/>
    <col min="7941" max="7941" width="13.109375" style="44" bestFit="1" customWidth="1"/>
    <col min="7942" max="8191" width="8.77734375" style="44"/>
    <col min="8192" max="8192" width="1.109375" style="44" customWidth="1"/>
    <col min="8193" max="8193" width="2" style="44" customWidth="1"/>
    <col min="8194" max="8194" width="18.77734375" style="44" customWidth="1"/>
    <col min="8195" max="8195" width="19" style="44" customWidth="1"/>
    <col min="8196" max="8196" width="2.88671875" style="44" customWidth="1"/>
    <col min="8197" max="8197" width="13.109375" style="44" bestFit="1" customWidth="1"/>
    <col min="8198" max="8447" width="8.77734375" style="44"/>
    <col min="8448" max="8448" width="1.109375" style="44" customWidth="1"/>
    <col min="8449" max="8449" width="2" style="44" customWidth="1"/>
    <col min="8450" max="8450" width="18.77734375" style="44" customWidth="1"/>
    <col min="8451" max="8451" width="19" style="44" customWidth="1"/>
    <col min="8452" max="8452" width="2.88671875" style="44" customWidth="1"/>
    <col min="8453" max="8453" width="13.109375" style="44" bestFit="1" customWidth="1"/>
    <col min="8454" max="8703" width="8.77734375" style="44"/>
    <col min="8704" max="8704" width="1.109375" style="44" customWidth="1"/>
    <col min="8705" max="8705" width="2" style="44" customWidth="1"/>
    <col min="8706" max="8706" width="18.77734375" style="44" customWidth="1"/>
    <col min="8707" max="8707" width="19" style="44" customWidth="1"/>
    <col min="8708" max="8708" width="2.88671875" style="44" customWidth="1"/>
    <col min="8709" max="8709" width="13.109375" style="44" bestFit="1" customWidth="1"/>
    <col min="8710" max="8959" width="8.77734375" style="44"/>
    <col min="8960" max="8960" width="1.109375" style="44" customWidth="1"/>
    <col min="8961" max="8961" width="2" style="44" customWidth="1"/>
    <col min="8962" max="8962" width="18.77734375" style="44" customWidth="1"/>
    <col min="8963" max="8963" width="19" style="44" customWidth="1"/>
    <col min="8964" max="8964" width="2.88671875" style="44" customWidth="1"/>
    <col min="8965" max="8965" width="13.109375" style="44" bestFit="1" customWidth="1"/>
    <col min="8966" max="9215" width="8.77734375" style="44"/>
    <col min="9216" max="9216" width="1.109375" style="44" customWidth="1"/>
    <col min="9217" max="9217" width="2" style="44" customWidth="1"/>
    <col min="9218" max="9218" width="18.77734375" style="44" customWidth="1"/>
    <col min="9219" max="9219" width="19" style="44" customWidth="1"/>
    <col min="9220" max="9220" width="2.88671875" style="44" customWidth="1"/>
    <col min="9221" max="9221" width="13.109375" style="44" bestFit="1" customWidth="1"/>
    <col min="9222" max="9471" width="8.77734375" style="44"/>
    <col min="9472" max="9472" width="1.109375" style="44" customWidth="1"/>
    <col min="9473" max="9473" width="2" style="44" customWidth="1"/>
    <col min="9474" max="9474" width="18.77734375" style="44" customWidth="1"/>
    <col min="9475" max="9475" width="19" style="44" customWidth="1"/>
    <col min="9476" max="9476" width="2.88671875" style="44" customWidth="1"/>
    <col min="9477" max="9477" width="13.109375" style="44" bestFit="1" customWidth="1"/>
    <col min="9478" max="9727" width="8.77734375" style="44"/>
    <col min="9728" max="9728" width="1.109375" style="44" customWidth="1"/>
    <col min="9729" max="9729" width="2" style="44" customWidth="1"/>
    <col min="9730" max="9730" width="18.77734375" style="44" customWidth="1"/>
    <col min="9731" max="9731" width="19" style="44" customWidth="1"/>
    <col min="9732" max="9732" width="2.88671875" style="44" customWidth="1"/>
    <col min="9733" max="9733" width="13.109375" style="44" bestFit="1" customWidth="1"/>
    <col min="9734" max="9983" width="8.77734375" style="44"/>
    <col min="9984" max="9984" width="1.109375" style="44" customWidth="1"/>
    <col min="9985" max="9985" width="2" style="44" customWidth="1"/>
    <col min="9986" max="9986" width="18.77734375" style="44" customWidth="1"/>
    <col min="9987" max="9987" width="19" style="44" customWidth="1"/>
    <col min="9988" max="9988" width="2.88671875" style="44" customWidth="1"/>
    <col min="9989" max="9989" width="13.109375" style="44" bestFit="1" customWidth="1"/>
    <col min="9990" max="10239" width="8.77734375" style="44"/>
    <col min="10240" max="10240" width="1.109375" style="44" customWidth="1"/>
    <col min="10241" max="10241" width="2" style="44" customWidth="1"/>
    <col min="10242" max="10242" width="18.77734375" style="44" customWidth="1"/>
    <col min="10243" max="10243" width="19" style="44" customWidth="1"/>
    <col min="10244" max="10244" width="2.88671875" style="44" customWidth="1"/>
    <col min="10245" max="10245" width="13.109375" style="44" bestFit="1" customWidth="1"/>
    <col min="10246" max="10495" width="8.77734375" style="44"/>
    <col min="10496" max="10496" width="1.109375" style="44" customWidth="1"/>
    <col min="10497" max="10497" width="2" style="44" customWidth="1"/>
    <col min="10498" max="10498" width="18.77734375" style="44" customWidth="1"/>
    <col min="10499" max="10499" width="19" style="44" customWidth="1"/>
    <col min="10500" max="10500" width="2.88671875" style="44" customWidth="1"/>
    <col min="10501" max="10501" width="13.109375" style="44" bestFit="1" customWidth="1"/>
    <col min="10502" max="10751" width="8.77734375" style="44"/>
    <col min="10752" max="10752" width="1.109375" style="44" customWidth="1"/>
    <col min="10753" max="10753" width="2" style="44" customWidth="1"/>
    <col min="10754" max="10754" width="18.77734375" style="44" customWidth="1"/>
    <col min="10755" max="10755" width="19" style="44" customWidth="1"/>
    <col min="10756" max="10756" width="2.88671875" style="44" customWidth="1"/>
    <col min="10757" max="10757" width="13.109375" style="44" bestFit="1" customWidth="1"/>
    <col min="10758" max="11007" width="8.77734375" style="44"/>
    <col min="11008" max="11008" width="1.109375" style="44" customWidth="1"/>
    <col min="11009" max="11009" width="2" style="44" customWidth="1"/>
    <col min="11010" max="11010" width="18.77734375" style="44" customWidth="1"/>
    <col min="11011" max="11011" width="19" style="44" customWidth="1"/>
    <col min="11012" max="11012" width="2.88671875" style="44" customWidth="1"/>
    <col min="11013" max="11013" width="13.109375" style="44" bestFit="1" customWidth="1"/>
    <col min="11014" max="11263" width="8.77734375" style="44"/>
    <col min="11264" max="11264" width="1.109375" style="44" customWidth="1"/>
    <col min="11265" max="11265" width="2" style="44" customWidth="1"/>
    <col min="11266" max="11266" width="18.77734375" style="44" customWidth="1"/>
    <col min="11267" max="11267" width="19" style="44" customWidth="1"/>
    <col min="11268" max="11268" width="2.88671875" style="44" customWidth="1"/>
    <col min="11269" max="11269" width="13.109375" style="44" bestFit="1" customWidth="1"/>
    <col min="11270" max="11519" width="8.77734375" style="44"/>
    <col min="11520" max="11520" width="1.109375" style="44" customWidth="1"/>
    <col min="11521" max="11521" width="2" style="44" customWidth="1"/>
    <col min="11522" max="11522" width="18.77734375" style="44" customWidth="1"/>
    <col min="11523" max="11523" width="19" style="44" customWidth="1"/>
    <col min="11524" max="11524" width="2.88671875" style="44" customWidth="1"/>
    <col min="11525" max="11525" width="13.109375" style="44" bestFit="1" customWidth="1"/>
    <col min="11526" max="11775" width="8.77734375" style="44"/>
    <col min="11776" max="11776" width="1.109375" style="44" customWidth="1"/>
    <col min="11777" max="11777" width="2" style="44" customWidth="1"/>
    <col min="11778" max="11778" width="18.77734375" style="44" customWidth="1"/>
    <col min="11779" max="11779" width="19" style="44" customWidth="1"/>
    <col min="11780" max="11780" width="2.88671875" style="44" customWidth="1"/>
    <col min="11781" max="11781" width="13.109375" style="44" bestFit="1" customWidth="1"/>
    <col min="11782" max="12031" width="8.77734375" style="44"/>
    <col min="12032" max="12032" width="1.109375" style="44" customWidth="1"/>
    <col min="12033" max="12033" width="2" style="44" customWidth="1"/>
    <col min="12034" max="12034" width="18.77734375" style="44" customWidth="1"/>
    <col min="12035" max="12035" width="19" style="44" customWidth="1"/>
    <col min="12036" max="12036" width="2.88671875" style="44" customWidth="1"/>
    <col min="12037" max="12037" width="13.109375" style="44" bestFit="1" customWidth="1"/>
    <col min="12038" max="12287" width="8.77734375" style="44"/>
    <col min="12288" max="12288" width="1.109375" style="44" customWidth="1"/>
    <col min="12289" max="12289" width="2" style="44" customWidth="1"/>
    <col min="12290" max="12290" width="18.77734375" style="44" customWidth="1"/>
    <col min="12291" max="12291" width="19" style="44" customWidth="1"/>
    <col min="12292" max="12292" width="2.88671875" style="44" customWidth="1"/>
    <col min="12293" max="12293" width="13.109375" style="44" bestFit="1" customWidth="1"/>
    <col min="12294" max="12543" width="8.77734375" style="44"/>
    <col min="12544" max="12544" width="1.109375" style="44" customWidth="1"/>
    <col min="12545" max="12545" width="2" style="44" customWidth="1"/>
    <col min="12546" max="12546" width="18.77734375" style="44" customWidth="1"/>
    <col min="12547" max="12547" width="19" style="44" customWidth="1"/>
    <col min="12548" max="12548" width="2.88671875" style="44" customWidth="1"/>
    <col min="12549" max="12549" width="13.109375" style="44" bestFit="1" customWidth="1"/>
    <col min="12550" max="12799" width="8.77734375" style="44"/>
    <col min="12800" max="12800" width="1.109375" style="44" customWidth="1"/>
    <col min="12801" max="12801" width="2" style="44" customWidth="1"/>
    <col min="12802" max="12802" width="18.77734375" style="44" customWidth="1"/>
    <col min="12803" max="12803" width="19" style="44" customWidth="1"/>
    <col min="12804" max="12804" width="2.88671875" style="44" customWidth="1"/>
    <col min="12805" max="12805" width="13.109375" style="44" bestFit="1" customWidth="1"/>
    <col min="12806" max="13055" width="8.77734375" style="44"/>
    <col min="13056" max="13056" width="1.109375" style="44" customWidth="1"/>
    <col min="13057" max="13057" width="2" style="44" customWidth="1"/>
    <col min="13058" max="13058" width="18.77734375" style="44" customWidth="1"/>
    <col min="13059" max="13059" width="19" style="44" customWidth="1"/>
    <col min="13060" max="13060" width="2.88671875" style="44" customWidth="1"/>
    <col min="13061" max="13061" width="13.109375" style="44" bestFit="1" customWidth="1"/>
    <col min="13062" max="13311" width="8.77734375" style="44"/>
    <col min="13312" max="13312" width="1.109375" style="44" customWidth="1"/>
    <col min="13313" max="13313" width="2" style="44" customWidth="1"/>
    <col min="13314" max="13314" width="18.77734375" style="44" customWidth="1"/>
    <col min="13315" max="13315" width="19" style="44" customWidth="1"/>
    <col min="13316" max="13316" width="2.88671875" style="44" customWidth="1"/>
    <col min="13317" max="13317" width="13.109375" style="44" bestFit="1" customWidth="1"/>
    <col min="13318" max="13567" width="8.77734375" style="44"/>
    <col min="13568" max="13568" width="1.109375" style="44" customWidth="1"/>
    <col min="13569" max="13569" width="2" style="44" customWidth="1"/>
    <col min="13570" max="13570" width="18.77734375" style="44" customWidth="1"/>
    <col min="13571" max="13571" width="19" style="44" customWidth="1"/>
    <col min="13572" max="13572" width="2.88671875" style="44" customWidth="1"/>
    <col min="13573" max="13573" width="13.109375" style="44" bestFit="1" customWidth="1"/>
    <col min="13574" max="13823" width="8.77734375" style="44"/>
    <col min="13824" max="13824" width="1.109375" style="44" customWidth="1"/>
    <col min="13825" max="13825" width="2" style="44" customWidth="1"/>
    <col min="13826" max="13826" width="18.77734375" style="44" customWidth="1"/>
    <col min="13827" max="13827" width="19" style="44" customWidth="1"/>
    <col min="13828" max="13828" width="2.88671875" style="44" customWidth="1"/>
    <col min="13829" max="13829" width="13.109375" style="44" bestFit="1" customWidth="1"/>
    <col min="13830" max="14079" width="8.77734375" style="44"/>
    <col min="14080" max="14080" width="1.109375" style="44" customWidth="1"/>
    <col min="14081" max="14081" width="2" style="44" customWidth="1"/>
    <col min="14082" max="14082" width="18.77734375" style="44" customWidth="1"/>
    <col min="14083" max="14083" width="19" style="44" customWidth="1"/>
    <col min="14084" max="14084" width="2.88671875" style="44" customWidth="1"/>
    <col min="14085" max="14085" width="13.109375" style="44" bestFit="1" customWidth="1"/>
    <col min="14086" max="14335" width="8.77734375" style="44"/>
    <col min="14336" max="14336" width="1.109375" style="44" customWidth="1"/>
    <col min="14337" max="14337" width="2" style="44" customWidth="1"/>
    <col min="14338" max="14338" width="18.77734375" style="44" customWidth="1"/>
    <col min="14339" max="14339" width="19" style="44" customWidth="1"/>
    <col min="14340" max="14340" width="2.88671875" style="44" customWidth="1"/>
    <col min="14341" max="14341" width="13.109375" style="44" bestFit="1" customWidth="1"/>
    <col min="14342" max="14591" width="8.77734375" style="44"/>
    <col min="14592" max="14592" width="1.109375" style="44" customWidth="1"/>
    <col min="14593" max="14593" width="2" style="44" customWidth="1"/>
    <col min="14594" max="14594" width="18.77734375" style="44" customWidth="1"/>
    <col min="14595" max="14595" width="19" style="44" customWidth="1"/>
    <col min="14596" max="14596" width="2.88671875" style="44" customWidth="1"/>
    <col min="14597" max="14597" width="13.109375" style="44" bestFit="1" customWidth="1"/>
    <col min="14598" max="14847" width="8.77734375" style="44"/>
    <col min="14848" max="14848" width="1.109375" style="44" customWidth="1"/>
    <col min="14849" max="14849" width="2" style="44" customWidth="1"/>
    <col min="14850" max="14850" width="18.77734375" style="44" customWidth="1"/>
    <col min="14851" max="14851" width="19" style="44" customWidth="1"/>
    <col min="14852" max="14852" width="2.88671875" style="44" customWidth="1"/>
    <col min="14853" max="14853" width="13.109375" style="44" bestFit="1" customWidth="1"/>
    <col min="14854" max="15103" width="8.77734375" style="44"/>
    <col min="15104" max="15104" width="1.109375" style="44" customWidth="1"/>
    <col min="15105" max="15105" width="2" style="44" customWidth="1"/>
    <col min="15106" max="15106" width="18.77734375" style="44" customWidth="1"/>
    <col min="15107" max="15107" width="19" style="44" customWidth="1"/>
    <col min="15108" max="15108" width="2.88671875" style="44" customWidth="1"/>
    <col min="15109" max="15109" width="13.109375" style="44" bestFit="1" customWidth="1"/>
    <col min="15110" max="15359" width="8.77734375" style="44"/>
    <col min="15360" max="15360" width="1.109375" style="44" customWidth="1"/>
    <col min="15361" max="15361" width="2" style="44" customWidth="1"/>
    <col min="15362" max="15362" width="18.77734375" style="44" customWidth="1"/>
    <col min="15363" max="15363" width="19" style="44" customWidth="1"/>
    <col min="15364" max="15364" width="2.88671875" style="44" customWidth="1"/>
    <col min="15365" max="15365" width="13.109375" style="44" bestFit="1" customWidth="1"/>
    <col min="15366" max="15615" width="8.77734375" style="44"/>
    <col min="15616" max="15616" width="1.109375" style="44" customWidth="1"/>
    <col min="15617" max="15617" width="2" style="44" customWidth="1"/>
    <col min="15618" max="15618" width="18.77734375" style="44" customWidth="1"/>
    <col min="15619" max="15619" width="19" style="44" customWidth="1"/>
    <col min="15620" max="15620" width="2.88671875" style="44" customWidth="1"/>
    <col min="15621" max="15621" width="13.109375" style="44" bestFit="1" customWidth="1"/>
    <col min="15622" max="15871" width="8.77734375" style="44"/>
    <col min="15872" max="15872" width="1.109375" style="44" customWidth="1"/>
    <col min="15873" max="15873" width="2" style="44" customWidth="1"/>
    <col min="15874" max="15874" width="18.77734375" style="44" customWidth="1"/>
    <col min="15875" max="15875" width="19" style="44" customWidth="1"/>
    <col min="15876" max="15876" width="2.88671875" style="44" customWidth="1"/>
    <col min="15877" max="15877" width="13.109375" style="44" bestFit="1" customWidth="1"/>
    <col min="15878" max="16127" width="8.77734375" style="44"/>
    <col min="16128" max="16128" width="1.109375" style="44" customWidth="1"/>
    <col min="16129" max="16129" width="2" style="44" customWidth="1"/>
    <col min="16130" max="16130" width="18.77734375" style="44" customWidth="1"/>
    <col min="16131" max="16131" width="19" style="44" customWidth="1"/>
    <col min="16132" max="16132" width="2.88671875" style="44" customWidth="1"/>
    <col min="16133" max="16133" width="13.109375" style="44" bestFit="1" customWidth="1"/>
    <col min="16134" max="16384" width="8.77734375" style="44"/>
  </cols>
  <sheetData>
    <row r="2" spans="2:14" ht="14.4">
      <c r="B2" s="45"/>
      <c r="C2" s="134"/>
      <c r="D2" s="45"/>
      <c r="E2" s="45"/>
      <c r="F2" s="153" t="s">
        <v>79</v>
      </c>
      <c r="G2" s="153"/>
      <c r="H2" s="153"/>
      <c r="I2" s="153"/>
      <c r="J2" s="153"/>
      <c r="K2" s="153"/>
    </row>
    <row r="3" spans="2:14" ht="28.8">
      <c r="B3" s="45"/>
      <c r="C3" s="135" t="s">
        <v>80</v>
      </c>
      <c r="D3" s="136">
        <v>1000</v>
      </c>
      <c r="E3" s="45"/>
      <c r="G3" s="46" t="str">
        <f>C9</f>
        <v>年订货成本</v>
      </c>
      <c r="H3" s="46" t="str">
        <f>C10</f>
        <v>年储存成本</v>
      </c>
      <c r="I3" s="53" t="str">
        <f>C11</f>
        <v>年运输成本</v>
      </c>
      <c r="J3" s="46" t="str">
        <f>C12</f>
        <v>年总成本</v>
      </c>
    </row>
    <row r="4" spans="2:14" ht="14.4">
      <c r="B4" s="45"/>
      <c r="C4" s="135" t="s">
        <v>81</v>
      </c>
      <c r="D4" s="136">
        <v>750</v>
      </c>
      <c r="E4" s="45"/>
      <c r="G4" s="47">
        <f>D9</f>
        <v>16666.666666666664</v>
      </c>
      <c r="H4" s="47">
        <f>D10</f>
        <v>1125</v>
      </c>
      <c r="I4" s="47">
        <f>D11</f>
        <v>25000</v>
      </c>
      <c r="J4" s="47">
        <f>D12</f>
        <v>42791.666666666664</v>
      </c>
      <c r="K4" s="44" t="s">
        <v>82</v>
      </c>
    </row>
    <row r="5" spans="2:14" ht="14.4">
      <c r="B5" s="45"/>
      <c r="C5" s="135" t="s">
        <v>83</v>
      </c>
      <c r="D5" s="136">
        <v>50</v>
      </c>
      <c r="E5" s="45"/>
      <c r="F5" s="135">
        <v>1</v>
      </c>
      <c r="G5" s="48">
        <f t="dataTable" ref="G5:J24" dt2D="0" dtr="0" r1="D7"/>
        <v>50000</v>
      </c>
      <c r="H5" s="48">
        <v>375</v>
      </c>
      <c r="I5" s="47">
        <v>25000</v>
      </c>
      <c r="J5" s="48">
        <v>75375</v>
      </c>
      <c r="K5" s="54">
        <f>G5-H5</f>
        <v>49625</v>
      </c>
    </row>
    <row r="6" spans="2:14" ht="14.4">
      <c r="B6" s="45"/>
      <c r="C6" s="135" t="s">
        <v>84</v>
      </c>
      <c r="D6" s="136">
        <v>25</v>
      </c>
      <c r="E6" s="49"/>
      <c r="F6" s="135">
        <v>2</v>
      </c>
      <c r="G6" s="48">
        <v>25000</v>
      </c>
      <c r="H6" s="48">
        <v>750</v>
      </c>
      <c r="I6" s="47">
        <v>25000</v>
      </c>
      <c r="J6" s="48">
        <v>50750</v>
      </c>
      <c r="K6" s="54">
        <f t="shared" ref="K6:K24" si="0">G6-H6</f>
        <v>24250</v>
      </c>
    </row>
    <row r="7" spans="2:14" ht="14.4">
      <c r="B7" s="45"/>
      <c r="C7" s="135" t="s">
        <v>85</v>
      </c>
      <c r="D7" s="136">
        <v>3</v>
      </c>
      <c r="E7" s="45"/>
      <c r="F7" s="135">
        <v>3</v>
      </c>
      <c r="G7" s="48">
        <v>16666.666666666664</v>
      </c>
      <c r="H7" s="48">
        <v>1125</v>
      </c>
      <c r="I7" s="47">
        <v>25000</v>
      </c>
      <c r="J7" s="48">
        <v>42791.666666666664</v>
      </c>
      <c r="K7" s="54">
        <f t="shared" si="0"/>
        <v>15541.666666666664</v>
      </c>
    </row>
    <row r="8" spans="2:14" ht="14.4">
      <c r="B8" s="45"/>
      <c r="C8" s="45"/>
      <c r="D8" s="45"/>
      <c r="E8" s="45"/>
      <c r="F8" s="135">
        <v>4</v>
      </c>
      <c r="G8" s="48">
        <v>12500</v>
      </c>
      <c r="H8" s="48">
        <v>1500</v>
      </c>
      <c r="I8" s="47">
        <v>25000</v>
      </c>
      <c r="J8" s="48">
        <v>39000</v>
      </c>
      <c r="K8" s="54">
        <f t="shared" si="0"/>
        <v>11000</v>
      </c>
      <c r="N8" s="55"/>
    </row>
    <row r="9" spans="2:14" ht="14.4">
      <c r="B9" s="45"/>
      <c r="C9" s="135" t="s">
        <v>86</v>
      </c>
      <c r="D9" s="137">
        <f>D3/D7*D5</f>
        <v>16666.666666666664</v>
      </c>
      <c r="E9" s="45"/>
      <c r="F9" s="135">
        <v>5</v>
      </c>
      <c r="G9" s="48">
        <v>10000</v>
      </c>
      <c r="H9" s="48">
        <v>1875</v>
      </c>
      <c r="I9" s="47">
        <v>25000</v>
      </c>
      <c r="J9" s="48">
        <v>36875</v>
      </c>
      <c r="K9" s="54">
        <f t="shared" si="0"/>
        <v>8125</v>
      </c>
    </row>
    <row r="10" spans="2:14" ht="14.4">
      <c r="B10" s="45"/>
      <c r="C10" s="135" t="s">
        <v>87</v>
      </c>
      <c r="D10" s="137">
        <f>D4*D7/2</f>
        <v>1125</v>
      </c>
      <c r="E10" s="45"/>
      <c r="F10" s="135">
        <v>6</v>
      </c>
      <c r="G10" s="48">
        <v>8333.3333333333321</v>
      </c>
      <c r="H10" s="48">
        <v>2250</v>
      </c>
      <c r="I10" s="47">
        <v>25000</v>
      </c>
      <c r="J10" s="48">
        <v>35583.333333333328</v>
      </c>
      <c r="K10" s="54">
        <f t="shared" si="0"/>
        <v>6083.3333333333321</v>
      </c>
    </row>
    <row r="11" spans="2:14" ht="14.4">
      <c r="B11" s="45"/>
      <c r="C11" s="135" t="s">
        <v>88</v>
      </c>
      <c r="D11" s="138">
        <f>$D$6*$D$3</f>
        <v>25000</v>
      </c>
      <c r="E11" s="45"/>
      <c r="F11" s="135">
        <v>7</v>
      </c>
      <c r="G11" s="48">
        <v>7142.8571428571431</v>
      </c>
      <c r="H11" s="48">
        <v>2625</v>
      </c>
      <c r="I11" s="47">
        <v>25000</v>
      </c>
      <c r="J11" s="48">
        <v>34767.857142857145</v>
      </c>
      <c r="K11" s="54">
        <f t="shared" si="0"/>
        <v>4517.8571428571431</v>
      </c>
    </row>
    <row r="12" spans="2:14" ht="14.4">
      <c r="B12" s="45"/>
      <c r="C12" s="135" t="s">
        <v>89</v>
      </c>
      <c r="D12" s="139">
        <f>SUM(D9:D11)</f>
        <v>42791.666666666664</v>
      </c>
      <c r="E12" s="45"/>
      <c r="F12" s="135">
        <v>8</v>
      </c>
      <c r="G12" s="48">
        <v>6250</v>
      </c>
      <c r="H12" s="48">
        <v>3000</v>
      </c>
      <c r="I12" s="47">
        <v>25000</v>
      </c>
      <c r="J12" s="48">
        <v>34250</v>
      </c>
      <c r="K12" s="54">
        <f t="shared" si="0"/>
        <v>3250</v>
      </c>
    </row>
    <row r="13" spans="2:14" ht="14.4">
      <c r="B13" s="45"/>
      <c r="C13" s="45"/>
      <c r="D13" s="45"/>
      <c r="E13" s="45"/>
      <c r="F13" s="135">
        <v>9</v>
      </c>
      <c r="G13" s="48">
        <v>5555.5555555555557</v>
      </c>
      <c r="H13" s="48">
        <v>3375</v>
      </c>
      <c r="I13" s="47">
        <v>25000</v>
      </c>
      <c r="J13" s="48">
        <v>33930.555555555555</v>
      </c>
      <c r="K13" s="54">
        <f t="shared" si="0"/>
        <v>2180.5555555555557</v>
      </c>
    </row>
    <row r="14" spans="2:14" ht="14.4">
      <c r="B14" s="45"/>
      <c r="C14" s="50" t="s">
        <v>90</v>
      </c>
      <c r="D14" s="45"/>
      <c r="E14" s="45"/>
      <c r="F14" s="135">
        <v>10</v>
      </c>
      <c r="G14" s="48">
        <v>5000</v>
      </c>
      <c r="H14" s="48">
        <v>3750</v>
      </c>
      <c r="I14" s="47">
        <v>25000</v>
      </c>
      <c r="J14" s="48">
        <v>33750</v>
      </c>
      <c r="K14" s="54">
        <f t="shared" si="0"/>
        <v>1250</v>
      </c>
    </row>
    <row r="15" spans="2:14" ht="14.4">
      <c r="B15" s="45"/>
      <c r="C15" s="135" t="s">
        <v>91</v>
      </c>
      <c r="D15" s="137">
        <f>SQRT(2*D3*D5/D4)</f>
        <v>11.547005383792516</v>
      </c>
      <c r="E15" s="45"/>
      <c r="F15" s="142">
        <v>11</v>
      </c>
      <c r="G15" s="143">
        <v>4545.454545454545</v>
      </c>
      <c r="H15" s="143">
        <v>4125</v>
      </c>
      <c r="I15" s="144">
        <v>25000</v>
      </c>
      <c r="J15" s="143">
        <v>33670.454545454544</v>
      </c>
      <c r="K15" s="145">
        <f t="shared" si="0"/>
        <v>420.45454545454504</v>
      </c>
    </row>
    <row r="16" spans="2:14" ht="14.4">
      <c r="B16" s="45"/>
      <c r="C16" s="135" t="s">
        <v>92</v>
      </c>
      <c r="D16" s="137">
        <f>D3/D15*D5</f>
        <v>4330.1270189221932</v>
      </c>
      <c r="E16" s="45"/>
      <c r="F16" s="142">
        <v>12</v>
      </c>
      <c r="G16" s="143">
        <v>4166.6666666666661</v>
      </c>
      <c r="H16" s="143">
        <v>4500</v>
      </c>
      <c r="I16" s="144">
        <v>25000</v>
      </c>
      <c r="J16" s="143">
        <v>33666.666666666664</v>
      </c>
      <c r="K16" s="145">
        <f t="shared" si="0"/>
        <v>-333.33333333333394</v>
      </c>
    </row>
    <row r="17" spans="2:11" ht="14.4">
      <c r="B17" s="45"/>
      <c r="C17" s="135" t="s">
        <v>93</v>
      </c>
      <c r="D17" s="137">
        <f>D4*D15/2</f>
        <v>4330.1270189221932</v>
      </c>
      <c r="E17" s="45"/>
      <c r="F17" s="135">
        <v>13</v>
      </c>
      <c r="G17" s="48">
        <v>3846.1538461538462</v>
      </c>
      <c r="H17" s="48">
        <v>4875</v>
      </c>
      <c r="I17" s="47">
        <v>25000</v>
      </c>
      <c r="J17" s="48">
        <v>33721.153846153844</v>
      </c>
      <c r="K17" s="54">
        <f t="shared" si="0"/>
        <v>-1028.8461538461538</v>
      </c>
    </row>
    <row r="18" spans="2:11" ht="14.4">
      <c r="B18" s="45"/>
      <c r="C18" s="135" t="s">
        <v>94</v>
      </c>
      <c r="D18" s="137">
        <f>D3*D6</f>
        <v>25000</v>
      </c>
      <c r="E18" s="45"/>
      <c r="F18" s="135">
        <v>14</v>
      </c>
      <c r="G18" s="48">
        <v>3571.4285714285716</v>
      </c>
      <c r="H18" s="48">
        <v>5250</v>
      </c>
      <c r="I18" s="47">
        <v>25000</v>
      </c>
      <c r="J18" s="48">
        <v>33821.428571428572</v>
      </c>
      <c r="K18" s="54">
        <f t="shared" si="0"/>
        <v>-1678.5714285714284</v>
      </c>
    </row>
    <row r="19" spans="2:11" ht="14.4">
      <c r="B19" s="45"/>
      <c r="C19" s="135" t="s">
        <v>95</v>
      </c>
      <c r="D19" s="137">
        <f>SUM(D16:D18)</f>
        <v>33660.254037844388</v>
      </c>
      <c r="E19" s="45"/>
      <c r="F19" s="135">
        <v>15</v>
      </c>
      <c r="G19" s="48">
        <v>3333.3333333333335</v>
      </c>
      <c r="H19" s="48">
        <v>5625</v>
      </c>
      <c r="I19" s="47">
        <v>25000</v>
      </c>
      <c r="J19" s="48">
        <v>33958.333333333336</v>
      </c>
      <c r="K19" s="54">
        <f t="shared" si="0"/>
        <v>-2291.6666666666665</v>
      </c>
    </row>
    <row r="20" spans="2:11" ht="14.4">
      <c r="B20" s="45"/>
      <c r="C20" s="45"/>
      <c r="D20" s="45"/>
      <c r="E20" s="45"/>
      <c r="F20" s="135">
        <v>16</v>
      </c>
      <c r="G20" s="48">
        <v>3125</v>
      </c>
      <c r="H20" s="48">
        <v>6000</v>
      </c>
      <c r="I20" s="47">
        <v>25000</v>
      </c>
      <c r="J20" s="48">
        <v>34125</v>
      </c>
      <c r="K20" s="54">
        <f t="shared" si="0"/>
        <v>-2875</v>
      </c>
    </row>
    <row r="21" spans="2:11" ht="13.2" customHeight="1">
      <c r="B21" s="45"/>
      <c r="C21" s="50" t="s">
        <v>96</v>
      </c>
      <c r="D21" s="45"/>
      <c r="E21" s="45"/>
      <c r="F21" s="135">
        <v>17</v>
      </c>
      <c r="G21" s="48">
        <v>2941.1764705882351</v>
      </c>
      <c r="H21" s="48">
        <v>6375</v>
      </c>
      <c r="I21" s="47">
        <v>25000</v>
      </c>
      <c r="J21" s="48">
        <v>34316.176470588238</v>
      </c>
      <c r="K21" s="54">
        <f t="shared" si="0"/>
        <v>-3433.8235294117649</v>
      </c>
    </row>
    <row r="22" spans="2:11" ht="13.2" customHeight="1">
      <c r="B22" s="45"/>
      <c r="C22" s="135" t="s">
        <v>91</v>
      </c>
      <c r="D22" s="141">
        <f>F27</f>
        <v>11.557788944723617</v>
      </c>
      <c r="E22" s="45"/>
      <c r="F22" s="135">
        <v>18</v>
      </c>
      <c r="G22" s="48">
        <v>2777.7777777777778</v>
      </c>
      <c r="H22" s="48">
        <v>6750</v>
      </c>
      <c r="I22" s="47">
        <v>25000</v>
      </c>
      <c r="J22" s="48">
        <v>34527.777777777781</v>
      </c>
      <c r="K22" s="54">
        <f t="shared" si="0"/>
        <v>-3972.2222222222222</v>
      </c>
    </row>
    <row r="23" spans="2:11" ht="13.2" customHeight="1">
      <c r="B23" s="45"/>
      <c r="C23" s="135" t="s">
        <v>92</v>
      </c>
      <c r="D23" s="137">
        <f>G27</f>
        <v>4334.1708542713568</v>
      </c>
      <c r="E23" s="45"/>
      <c r="F23" s="135">
        <v>19</v>
      </c>
      <c r="G23" s="48">
        <v>2631.5789473684208</v>
      </c>
      <c r="H23" s="48">
        <v>7125</v>
      </c>
      <c r="I23" s="47">
        <v>25000</v>
      </c>
      <c r="J23" s="48">
        <v>34756.57894736842</v>
      </c>
      <c r="K23" s="54">
        <f t="shared" si="0"/>
        <v>-4493.4210526315792</v>
      </c>
    </row>
    <row r="24" spans="2:11" ht="13.2" customHeight="1">
      <c r="B24" s="45"/>
      <c r="C24" s="135" t="s">
        <v>93</v>
      </c>
      <c r="D24" s="137">
        <f>H27</f>
        <v>4334.1708542713568</v>
      </c>
      <c r="E24" s="45"/>
      <c r="F24" s="135">
        <v>20</v>
      </c>
      <c r="G24" s="48">
        <v>2500</v>
      </c>
      <c r="H24" s="48">
        <v>7500</v>
      </c>
      <c r="I24" s="47">
        <v>25000</v>
      </c>
      <c r="J24" s="48">
        <v>35000</v>
      </c>
      <c r="K24" s="54">
        <f t="shared" si="0"/>
        <v>-5000</v>
      </c>
    </row>
    <row r="25" spans="2:11" ht="13.2" customHeight="1">
      <c r="B25" s="45"/>
      <c r="C25" s="135" t="s">
        <v>94</v>
      </c>
      <c r="D25" s="137">
        <f>I27</f>
        <v>25000</v>
      </c>
      <c r="E25" s="45"/>
    </row>
    <row r="26" spans="2:11" ht="13.2" customHeight="1">
      <c r="B26" s="45"/>
      <c r="C26" s="135" t="s">
        <v>95</v>
      </c>
      <c r="D26" s="137">
        <f>J27</f>
        <v>33668.341708542714</v>
      </c>
      <c r="E26" s="45"/>
      <c r="F26" s="44" t="s">
        <v>97</v>
      </c>
    </row>
    <row r="27" spans="2:11" ht="13.2" customHeight="1">
      <c r="B27" s="45"/>
      <c r="C27" s="45"/>
      <c r="D27" s="45"/>
      <c r="E27" s="45"/>
      <c r="F27" s="141">
        <f>F15+(0-$K$15)/($K$16-$K$15)*(F16-F15)</f>
        <v>11.557788944723617</v>
      </c>
      <c r="G27" s="141">
        <f t="shared" ref="G27:K27" si="1">G15+(0-$K$15)/($K$16-$K$15)*(G16-G15)</f>
        <v>4334.1708542713568</v>
      </c>
      <c r="H27" s="141">
        <f t="shared" si="1"/>
        <v>4334.1708542713568</v>
      </c>
      <c r="I27" s="141">
        <f t="shared" si="1"/>
        <v>25000</v>
      </c>
      <c r="J27" s="141">
        <f t="shared" si="1"/>
        <v>33668.341708542714</v>
      </c>
      <c r="K27" s="141">
        <f t="shared" si="1"/>
        <v>0</v>
      </c>
    </row>
    <row r="28" spans="2:11" ht="13.2" customHeight="1">
      <c r="C28" s="44"/>
    </row>
    <row r="29" spans="2:11" ht="14.4">
      <c r="C29" s="44"/>
      <c r="F29" s="44" t="s">
        <v>98</v>
      </c>
    </row>
    <row r="30" spans="2:11" ht="13.2" customHeight="1">
      <c r="C30" s="44"/>
      <c r="F30" s="51">
        <f>D7</f>
        <v>3</v>
      </c>
      <c r="G30" s="51">
        <f>D12</f>
        <v>42791.666666666664</v>
      </c>
    </row>
    <row r="31" spans="2:11" ht="13.2" customHeight="1">
      <c r="F31" s="52">
        <f>D15</f>
        <v>11.547005383792516</v>
      </c>
      <c r="G31" s="51">
        <f>D19</f>
        <v>33660.254037844388</v>
      </c>
    </row>
    <row r="32" spans="2:11" ht="13.2" customHeight="1">
      <c r="F32" s="51">
        <f>D7</f>
        <v>3</v>
      </c>
      <c r="G32" s="51">
        <f>D19</f>
        <v>33660.254037844388</v>
      </c>
    </row>
    <row r="33" spans="6:7" ht="13.2" customHeight="1">
      <c r="F33" s="51">
        <f>D7</f>
        <v>3</v>
      </c>
      <c r="G33" s="51">
        <f>D12</f>
        <v>42791.666666666664</v>
      </c>
    </row>
  </sheetData>
  <mergeCells count="1">
    <mergeCell ref="F2:K2"/>
  </mergeCells>
  <phoneticPr fontId="19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verticalDpi="30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5</xdr:col>
                    <xdr:colOff>0</xdr:colOff>
                    <xdr:row>18</xdr:row>
                    <xdr:rowOff>15240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Spinner 2">
              <controlPr defaultSize="0" autoPict="0">
                <anchor moveWithCells="1" sizeWithCells="1">
                  <from>
                    <xdr:col>5</xdr:col>
                    <xdr:colOff>0</xdr:colOff>
                    <xdr:row>18</xdr:row>
                    <xdr:rowOff>22860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Spinner 3">
              <controlPr defaultSize="0" autoPict="0">
                <anchor moveWithCells="1" sizeWithCells="1">
                  <from>
                    <xdr:col>9</xdr:col>
                    <xdr:colOff>777240</xdr:colOff>
                    <xdr:row>29</xdr:row>
                    <xdr:rowOff>121920</xdr:rowOff>
                  </from>
                  <to>
                    <xdr:col>11</xdr:col>
                    <xdr:colOff>251460</xdr:colOff>
                    <xdr:row>31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28"/>
  <sheetViews>
    <sheetView topLeftCell="A6" workbookViewId="0">
      <selection activeCell="D10" sqref="D10"/>
    </sheetView>
  </sheetViews>
  <sheetFormatPr defaultColWidth="9" defaultRowHeight="14.4"/>
  <cols>
    <col min="1" max="1" width="2" style="27" customWidth="1"/>
    <col min="2" max="2" width="10.44140625" style="27" customWidth="1"/>
    <col min="3" max="3" width="9.44140625" style="27" customWidth="1"/>
    <col min="4" max="4" width="10.5546875" style="27" bestFit="1" customWidth="1"/>
    <col min="5" max="5" width="8.44140625" style="27" customWidth="1"/>
    <col min="6" max="6" width="2" style="27" customWidth="1"/>
    <col min="7" max="7" width="8.21875" style="27" customWidth="1"/>
    <col min="8" max="10" width="8.44140625" style="27" customWidth="1"/>
    <col min="11" max="11" width="2" style="27" customWidth="1"/>
    <col min="12" max="13" width="6.44140625" style="27" customWidth="1"/>
    <col min="14" max="17" width="7.44140625" style="27" customWidth="1"/>
    <col min="18" max="19" width="6.44140625" style="27" customWidth="1"/>
    <col min="20" max="16384" width="9" style="27"/>
  </cols>
  <sheetData>
    <row r="2" spans="2:19">
      <c r="B2" s="28" t="s">
        <v>29</v>
      </c>
      <c r="C2" s="29">
        <v>0.09</v>
      </c>
      <c r="D2" s="27">
        <v>9</v>
      </c>
      <c r="G2" s="30" t="s">
        <v>30</v>
      </c>
      <c r="L2" s="115" t="s">
        <v>31</v>
      </c>
      <c r="M2" s="116"/>
      <c r="N2" s="116"/>
      <c r="O2" s="116"/>
      <c r="P2" s="116"/>
      <c r="Q2" s="116"/>
      <c r="R2" s="116"/>
      <c r="S2" s="117"/>
    </row>
    <row r="3" spans="2:19">
      <c r="B3" s="28" t="s">
        <v>32</v>
      </c>
      <c r="C3" s="31">
        <v>500000</v>
      </c>
      <c r="G3" s="32"/>
      <c r="H3" s="33">
        <f>D7</f>
        <v>20534.503209634451</v>
      </c>
      <c r="I3" s="33">
        <f>E7</f>
        <v>112495.66999874893</v>
      </c>
      <c r="J3" s="33">
        <f>H3-I3</f>
        <v>-91961.166789114475</v>
      </c>
      <c r="L3" s="123" t="s">
        <v>33</v>
      </c>
      <c r="M3" s="123" t="s">
        <v>34</v>
      </c>
      <c r="N3" s="123" t="s">
        <v>35</v>
      </c>
      <c r="O3" s="123" t="s">
        <v>36</v>
      </c>
      <c r="P3" s="123" t="s">
        <v>37</v>
      </c>
      <c r="Q3" s="123" t="s">
        <v>38</v>
      </c>
      <c r="R3" s="123" t="s">
        <v>39</v>
      </c>
      <c r="S3" s="123" t="s">
        <v>40</v>
      </c>
    </row>
    <row r="4" spans="2:19">
      <c r="B4" s="34" t="s">
        <v>41</v>
      </c>
      <c r="C4" s="35">
        <v>10</v>
      </c>
      <c r="E4" s="27" t="s">
        <v>42</v>
      </c>
      <c r="G4" s="36">
        <v>0.01</v>
      </c>
      <c r="H4" s="37">
        <f t="dataTable" ref="H4:I23" dt2D="0" dtr="0" r1="C2"/>
        <v>226390.07109280396</v>
      </c>
      <c r="I4" s="37">
        <v>812666.08430482587</v>
      </c>
      <c r="J4" s="33">
        <f t="shared" ref="J4:J23" si="0">H4-I4</f>
        <v>-586276.01321202191</v>
      </c>
      <c r="L4" s="31">
        <v>60000</v>
      </c>
      <c r="M4" s="31">
        <v>80000</v>
      </c>
      <c r="N4" s="31">
        <v>100000</v>
      </c>
      <c r="O4" s="31">
        <v>120000</v>
      </c>
      <c r="P4" s="31">
        <v>140000</v>
      </c>
      <c r="Q4" s="31">
        <v>110000</v>
      </c>
      <c r="R4" s="31">
        <v>90000</v>
      </c>
      <c r="S4" s="31">
        <v>60000</v>
      </c>
    </row>
    <row r="5" spans="2:19">
      <c r="B5" s="123"/>
      <c r="C5" s="123"/>
      <c r="D5" s="122" t="s">
        <v>43</v>
      </c>
      <c r="E5" s="122" t="s">
        <v>44</v>
      </c>
      <c r="G5" s="36">
        <v>0.02</v>
      </c>
      <c r="H5" s="37">
        <v>194849.72025201796</v>
      </c>
      <c r="I5" s="37">
        <v>689505.03481897502</v>
      </c>
      <c r="J5" s="33">
        <f t="shared" si="0"/>
        <v>-494655.31456695707</v>
      </c>
    </row>
    <row r="6" spans="2:19">
      <c r="B6" s="118" t="s">
        <v>45</v>
      </c>
      <c r="C6" s="118"/>
      <c r="D6" s="31"/>
      <c r="E6" s="31">
        <v>1450000</v>
      </c>
      <c r="G6" s="36">
        <v>0.03</v>
      </c>
      <c r="H6" s="37">
        <v>165223.99972908793</v>
      </c>
      <c r="I6" s="37">
        <v>578936.17660025111</v>
      </c>
      <c r="J6" s="33">
        <f t="shared" si="0"/>
        <v>-413712.17687116319</v>
      </c>
    </row>
    <row r="7" spans="2:19">
      <c r="B7" s="118" t="s">
        <v>46</v>
      </c>
      <c r="C7" s="118"/>
      <c r="D7" s="146">
        <f>-500000+NPV(C2,C16:C23)</f>
        <v>20534.503209634451</v>
      </c>
      <c r="E7" s="33">
        <f>-500000+NPV(C2,D16:D25)</f>
        <v>112495.66999874893</v>
      </c>
      <c r="G7" s="36">
        <v>0.04</v>
      </c>
      <c r="H7" s="37">
        <v>137371.3517893164</v>
      </c>
      <c r="I7" s="37">
        <v>479568.04479740781</v>
      </c>
      <c r="J7" s="33">
        <f t="shared" si="0"/>
        <v>-342196.69300809142</v>
      </c>
    </row>
    <row r="8" spans="2:19">
      <c r="B8" s="118" t="s">
        <v>47</v>
      </c>
      <c r="C8" s="118"/>
      <c r="D8" s="29">
        <f>IRR(C15:C23)</f>
        <v>0.10049966140745026</v>
      </c>
      <c r="E8" s="29">
        <f>IRR(D15:D25)</f>
        <v>0.1123457499326046</v>
      </c>
      <c r="G8" s="36">
        <v>0.05</v>
      </c>
      <c r="H8" s="37">
        <v>111162.31061671989</v>
      </c>
      <c r="I8" s="37">
        <v>390174.2176341007</v>
      </c>
      <c r="J8" s="33">
        <f t="shared" si="0"/>
        <v>-279011.90701738081</v>
      </c>
    </row>
    <row r="9" spans="2:19">
      <c r="B9" s="115"/>
      <c r="C9" s="116"/>
      <c r="D9" s="116"/>
      <c r="E9" s="117"/>
      <c r="G9" s="36">
        <v>0.06</v>
      </c>
      <c r="H9" s="37">
        <v>86478.342833969742</v>
      </c>
      <c r="I9" s="37">
        <v>309672.42652692099</v>
      </c>
      <c r="J9" s="33">
        <f t="shared" si="0"/>
        <v>-223194.08369295124</v>
      </c>
    </row>
    <row r="10" spans="2:19">
      <c r="B10" s="118" t="s">
        <v>48</v>
      </c>
      <c r="C10" s="118"/>
      <c r="D10" s="31" t="str">
        <f>IF(D8&gt;E8,"项目A较优","项目B较优")</f>
        <v>项目B较优</v>
      </c>
      <c r="E10" s="31"/>
      <c r="G10" s="36">
        <v>7.0000000000000007E-2</v>
      </c>
      <c r="H10" s="37">
        <v>63210.810542830615</v>
      </c>
      <c r="I10" s="37">
        <v>237106.47359534039</v>
      </c>
      <c r="J10" s="33">
        <f t="shared" si="0"/>
        <v>-173895.66305250977</v>
      </c>
    </row>
    <row r="11" spans="2:19">
      <c r="B11" s="118" t="s">
        <v>49</v>
      </c>
      <c r="C11" s="118"/>
      <c r="D11" s="147">
        <f>G27</f>
        <v>0.12084845467799377</v>
      </c>
      <c r="E11" s="31"/>
      <c r="G11" s="36">
        <v>0.08</v>
      </c>
      <c r="H11" s="37">
        <v>41260.042802867014</v>
      </c>
      <c r="I11" s="37">
        <v>171630.55772279203</v>
      </c>
      <c r="J11" s="33">
        <f t="shared" si="0"/>
        <v>-130370.51491992502</v>
      </c>
    </row>
    <row r="12" spans="2:19">
      <c r="G12" s="36">
        <v>0.09</v>
      </c>
      <c r="H12" s="37">
        <v>20534.503209634451</v>
      </c>
      <c r="I12" s="37">
        <v>112495.66999874893</v>
      </c>
      <c r="J12" s="33">
        <f t="shared" si="0"/>
        <v>-91961.166789114475</v>
      </c>
    </row>
    <row r="13" spans="2:19" ht="14.4" customHeight="1">
      <c r="B13" s="119" t="s">
        <v>50</v>
      </c>
      <c r="C13" s="120"/>
      <c r="D13" s="121"/>
      <c r="G13" s="36">
        <v>0.1</v>
      </c>
      <c r="H13" s="37">
        <v>950.04274630430155</v>
      </c>
      <c r="I13" s="37">
        <v>59037.769672820577</v>
      </c>
      <c r="J13" s="33">
        <f t="shared" si="0"/>
        <v>-58087.726926516276</v>
      </c>
    </row>
    <row r="14" spans="2:19">
      <c r="B14" s="28"/>
      <c r="C14" s="122" t="s">
        <v>43</v>
      </c>
      <c r="D14" s="122" t="s">
        <v>44</v>
      </c>
      <c r="E14" s="38"/>
      <c r="G14" s="36">
        <v>0.11</v>
      </c>
      <c r="H14" s="37">
        <v>-17570.771602907684</v>
      </c>
      <c r="I14" s="37">
        <v>10667.49422297714</v>
      </c>
      <c r="J14" s="33">
        <f t="shared" si="0"/>
        <v>-28238.265825884824</v>
      </c>
    </row>
    <row r="15" spans="2:19">
      <c r="B15" s="28">
        <v>0</v>
      </c>
      <c r="C15" s="31">
        <v>-500000</v>
      </c>
      <c r="D15" s="31">
        <v>-500000</v>
      </c>
      <c r="G15" s="36">
        <v>0.12</v>
      </c>
      <c r="H15" s="37">
        <v>-35099.260845377401</v>
      </c>
      <c r="I15" s="37">
        <v>-33138.806943490927</v>
      </c>
      <c r="J15" s="33">
        <f t="shared" si="0"/>
        <v>-1960.4539018864743</v>
      </c>
    </row>
    <row r="16" spans="2:19">
      <c r="B16" s="28">
        <v>1</v>
      </c>
      <c r="C16" s="31">
        <v>60000</v>
      </c>
      <c r="D16" s="31">
        <v>0</v>
      </c>
      <c r="G16" s="36">
        <v>0.13</v>
      </c>
      <c r="H16" s="37">
        <v>-51701.177950002195</v>
      </c>
      <c r="I16" s="37">
        <v>-72846.895217118028</v>
      </c>
      <c r="J16" s="33">
        <f t="shared" si="0"/>
        <v>21145.717267115833</v>
      </c>
    </row>
    <row r="17" spans="2:10">
      <c r="B17" s="28">
        <v>2</v>
      </c>
      <c r="C17" s="31">
        <v>80000</v>
      </c>
      <c r="D17" s="31">
        <v>0</v>
      </c>
      <c r="G17" s="36">
        <v>0.14000000000000001</v>
      </c>
      <c r="H17" s="37">
        <v>-67437.198296030227</v>
      </c>
      <c r="I17" s="37">
        <v>-108871.47619759722</v>
      </c>
      <c r="J17" s="33">
        <f t="shared" si="0"/>
        <v>41434.277901566995</v>
      </c>
    </row>
    <row r="18" spans="2:10">
      <c r="B18" s="28">
        <v>3</v>
      </c>
      <c r="C18" s="31">
        <v>100000</v>
      </c>
      <c r="D18" s="31">
        <v>0</v>
      </c>
      <c r="G18" s="36">
        <v>0.15</v>
      </c>
      <c r="H18" s="37">
        <v>-82363.362342535809</v>
      </c>
      <c r="I18" s="37">
        <v>-141582.17612329451</v>
      </c>
      <c r="J18" s="33">
        <f t="shared" si="0"/>
        <v>59218.813780758705</v>
      </c>
    </row>
    <row r="19" spans="2:10">
      <c r="B19" s="28">
        <v>4</v>
      </c>
      <c r="C19" s="31">
        <v>120000</v>
      </c>
      <c r="D19" s="31">
        <v>0</v>
      </c>
      <c r="G19" s="36">
        <v>0.16</v>
      </c>
      <c r="H19" s="37">
        <v>-96531.475595537515</v>
      </c>
      <c r="I19" s="37">
        <v>-171308.77500213345</v>
      </c>
      <c r="J19" s="33">
        <f t="shared" si="0"/>
        <v>74777.299406595936</v>
      </c>
    </row>
    <row r="20" spans="2:10">
      <c r="B20" s="28">
        <v>5</v>
      </c>
      <c r="C20" s="31">
        <v>140000</v>
      </c>
      <c r="D20" s="31">
        <v>0</v>
      </c>
      <c r="G20" s="36">
        <v>0.17</v>
      </c>
      <c r="H20" s="37">
        <v>-109989.47036734305</v>
      </c>
      <c r="I20" s="37">
        <v>-198345.79423630849</v>
      </c>
      <c r="J20" s="33">
        <f t="shared" si="0"/>
        <v>88356.323868965439</v>
      </c>
    </row>
    <row r="21" spans="2:10">
      <c r="B21" s="28">
        <v>6</v>
      </c>
      <c r="C21" s="31">
        <v>110000</v>
      </c>
      <c r="D21" s="31">
        <v>0</v>
      </c>
      <c r="G21" s="36">
        <v>0.18</v>
      </c>
      <c r="H21" s="37">
        <v>-122781.73331190116</v>
      </c>
      <c r="I21" s="37">
        <v>-222956.52297527151</v>
      </c>
      <c r="J21" s="33">
        <f t="shared" si="0"/>
        <v>100174.78966337035</v>
      </c>
    </row>
    <row r="22" spans="2:10">
      <c r="B22" s="28">
        <v>7</v>
      </c>
      <c r="C22" s="31">
        <v>90000</v>
      </c>
      <c r="D22" s="31">
        <v>0</v>
      </c>
      <c r="G22" s="36">
        <v>0.19</v>
      </c>
      <c r="H22" s="37">
        <v>-134949.40227127518</v>
      </c>
      <c r="I22" s="37">
        <v>-245376.5558473751</v>
      </c>
      <c r="J22" s="33">
        <f t="shared" si="0"/>
        <v>110427.15357609992</v>
      </c>
    </row>
    <row r="23" spans="2:10">
      <c r="B23" s="28">
        <v>8</v>
      </c>
      <c r="C23" s="31">
        <v>60000</v>
      </c>
      <c r="D23" s="31">
        <v>0</v>
      </c>
      <c r="G23" s="36">
        <v>0.2</v>
      </c>
      <c r="H23" s="37">
        <v>-146530.63557384541</v>
      </c>
      <c r="I23" s="37">
        <v>-265816.90480972367</v>
      </c>
      <c r="J23" s="33">
        <f t="shared" si="0"/>
        <v>119286.26923587825</v>
      </c>
    </row>
    <row r="24" spans="2:10">
      <c r="B24" s="28">
        <v>9</v>
      </c>
      <c r="C24" s="31">
        <v>0</v>
      </c>
      <c r="D24" s="31">
        <v>0</v>
      </c>
    </row>
    <row r="25" spans="2:10">
      <c r="B25" s="28">
        <v>10</v>
      </c>
      <c r="C25" s="31">
        <v>0</v>
      </c>
      <c r="D25" s="31">
        <v>1450000</v>
      </c>
      <c r="G25" s="122" t="s">
        <v>51</v>
      </c>
      <c r="H25" s="122"/>
    </row>
    <row r="26" spans="2:10">
      <c r="G26" s="39">
        <v>0.12</v>
      </c>
      <c r="H26" s="40">
        <v>-1960</v>
      </c>
    </row>
    <row r="27" spans="2:10">
      <c r="G27" s="41">
        <f>G26+(0-J15)/(J16-J15)*(G15-G14)</f>
        <v>0.12084845467799377</v>
      </c>
      <c r="H27" s="42">
        <v>0</v>
      </c>
    </row>
    <row r="28" spans="2:10">
      <c r="G28" s="43">
        <v>0.13</v>
      </c>
      <c r="H28" s="40">
        <v>21146</v>
      </c>
    </row>
  </sheetData>
  <phoneticPr fontId="19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"/>
  <sheetViews>
    <sheetView showGridLines="0" workbookViewId="0">
      <selection activeCell="E10" sqref="E10"/>
    </sheetView>
  </sheetViews>
  <sheetFormatPr defaultColWidth="9" defaultRowHeight="14.4"/>
  <cols>
    <col min="1" max="1" width="2" style="22" customWidth="1"/>
    <col min="3" max="3" width="2.33203125" style="22" customWidth="1"/>
    <col min="4" max="4" width="24.44140625" style="22" bestFit="1" customWidth="1"/>
    <col min="5" max="5" width="7.88671875" style="22" customWidth="1"/>
    <col min="6" max="6" width="8.109375" style="22" bestFit="1" customWidth="1"/>
    <col min="7" max="8" width="7.109375" style="22" bestFit="1" customWidth="1"/>
    <col min="9" max="9" width="2" style="22" customWidth="1"/>
    <col min="10" max="16384" width="9" style="22"/>
  </cols>
  <sheetData>
    <row r="2" spans="2:9">
      <c r="B2">
        <f>MAX($E$10)</f>
        <v>8399.9997999929747</v>
      </c>
    </row>
    <row r="3" spans="2:9" ht="15">
      <c r="B3">
        <f>COUNT($E$7:$F$7,$E$8)</f>
        <v>3</v>
      </c>
      <c r="D3" s="129"/>
      <c r="E3" s="130" t="s">
        <v>68</v>
      </c>
      <c r="F3" s="130" t="s">
        <v>69</v>
      </c>
      <c r="G3" s="129" t="s">
        <v>70</v>
      </c>
      <c r="H3" s="129" t="s">
        <v>71</v>
      </c>
    </row>
    <row r="4" spans="2:9">
      <c r="B4" t="b">
        <f t="array" ref="B4">$E$7:$F$7&gt;=$E$6:$F$6</f>
        <v>1</v>
      </c>
      <c r="D4" s="129" t="s">
        <v>72</v>
      </c>
      <c r="E4" s="23">
        <v>20</v>
      </c>
      <c r="F4" s="23">
        <v>25</v>
      </c>
      <c r="G4" s="23">
        <f>60*10*8+10*E8</f>
        <v>6360.0001200042161</v>
      </c>
      <c r="H4" s="23">
        <f>SUMPRODUCT(E7:F7*E4:F4)</f>
        <v>6360.0001200042152</v>
      </c>
      <c r="I4" s="26"/>
    </row>
    <row r="5" spans="2:9">
      <c r="B5" t="b">
        <f t="array" ref="B5">$E$7:$F$7&gt;=0</f>
        <v>1</v>
      </c>
      <c r="D5" s="129" t="s">
        <v>73</v>
      </c>
      <c r="E5" s="23">
        <v>1</v>
      </c>
      <c r="F5" s="23">
        <v>1.1000000000000001</v>
      </c>
      <c r="G5" s="23">
        <v>300</v>
      </c>
      <c r="H5" s="23">
        <f>SUMPRODUCT(E7:F7*E5:F5)</f>
        <v>300</v>
      </c>
      <c r="I5" s="26"/>
    </row>
    <row r="6" spans="2:9">
      <c r="B6" t="b">
        <f>$E$8&gt;=0</f>
        <v>1</v>
      </c>
      <c r="D6" s="129" t="s">
        <v>74</v>
      </c>
      <c r="E6" s="23">
        <v>100</v>
      </c>
      <c r="F6" s="23">
        <v>120</v>
      </c>
    </row>
    <row r="7" spans="2:9">
      <c r="B7" t="b">
        <f t="array" ref="B7">$H$4:$H$5=$G$4:$G$5</f>
        <v>1</v>
      </c>
      <c r="D7" s="129" t="s">
        <v>75</v>
      </c>
      <c r="E7" s="24">
        <v>167.99995599845434</v>
      </c>
      <c r="F7" s="24">
        <v>120.00004000140515</v>
      </c>
    </row>
    <row r="8" spans="2:9">
      <c r="B8">
        <f>{32767,32767,0.000001,0.01,FALSE,FALSE,TRUE,1,1,1,0.0001,FALSE}</f>
        <v>32767</v>
      </c>
      <c r="D8" s="131" t="s">
        <v>76</v>
      </c>
      <c r="E8" s="25">
        <v>156.00001200042161</v>
      </c>
    </row>
    <row r="9" spans="2:9">
      <c r="B9">
        <f>{0,0,1,100,0,FALSE,TRUE,0.075,0,0,FALSE,30}</f>
        <v>0</v>
      </c>
      <c r="D9" s="129" t="s">
        <v>77</v>
      </c>
      <c r="E9" s="23">
        <v>30</v>
      </c>
      <c r="F9" s="23">
        <v>28</v>
      </c>
    </row>
    <row r="10" spans="2:9">
      <c r="D10" s="129" t="s">
        <v>78</v>
      </c>
      <c r="E10" s="132">
        <f>SUMPRODUCT(E7:F7*E9:F9)</f>
        <v>8399.9997999929747</v>
      </c>
    </row>
  </sheetData>
  <phoneticPr fontId="19" type="noConversion"/>
  <printOptions headings="1"/>
  <pageMargins left="0.70866141732283505" right="0.70866141732283505" top="0.74803149606299202" bottom="0.74803149606299202" header="0.31496062992126" footer="0.31496062992126"/>
  <pageSetup paperSize="9" orientation="portrait" blackAndWhite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213"/>
  <sheetViews>
    <sheetView showGridLines="0" tabSelected="1" zoomScale="83" workbookViewId="0">
      <selection activeCell="C11" sqref="C11"/>
    </sheetView>
  </sheetViews>
  <sheetFormatPr defaultColWidth="9" defaultRowHeight="14.4"/>
  <cols>
    <col min="1" max="1" width="2.6640625" style="1" customWidth="1"/>
    <col min="2" max="2" width="40.109375" style="1" customWidth="1"/>
    <col min="3" max="3" width="8.6640625" style="1" customWidth="1"/>
    <col min="4" max="4" width="2.6640625" style="1" customWidth="1"/>
    <col min="5" max="5" width="12.109375" style="1" customWidth="1"/>
    <col min="6" max="6" width="25.109375" style="1" customWidth="1"/>
    <col min="7" max="8" width="9.109375" style="1" customWidth="1"/>
    <col min="9" max="12" width="3.6640625" style="1" customWidth="1"/>
    <col min="13" max="13" width="4.77734375" style="1" bestFit="1" customWidth="1"/>
    <col min="14" max="17" width="4.44140625" style="1" customWidth="1"/>
    <col min="18" max="18" width="2.44140625" style="1" customWidth="1"/>
    <col min="19" max="21" width="5.77734375" style="1" customWidth="1"/>
    <col min="22" max="254" width="9" style="1"/>
    <col min="255" max="255" width="1.109375" style="1" customWidth="1"/>
    <col min="256" max="256" width="11.88671875" style="1" customWidth="1"/>
    <col min="257" max="257" width="13.109375" style="1" customWidth="1"/>
    <col min="258" max="258" width="11.33203125" style="1" customWidth="1"/>
    <col min="259" max="260" width="8.6640625" style="1" customWidth="1"/>
    <col min="261" max="261" width="5.44140625" style="1" customWidth="1"/>
    <col min="262" max="262" width="8.44140625" style="1" customWidth="1"/>
    <col min="263" max="263" width="9" style="1"/>
    <col min="264" max="277" width="5.77734375" style="1" customWidth="1"/>
    <col min="278" max="510" width="9" style="1"/>
    <col min="511" max="511" width="1.109375" style="1" customWidth="1"/>
    <col min="512" max="512" width="11.88671875" style="1" customWidth="1"/>
    <col min="513" max="513" width="13.109375" style="1" customWidth="1"/>
    <col min="514" max="514" width="11.33203125" style="1" customWidth="1"/>
    <col min="515" max="516" width="8.6640625" style="1" customWidth="1"/>
    <col min="517" max="517" width="5.44140625" style="1" customWidth="1"/>
    <col min="518" max="518" width="8.44140625" style="1" customWidth="1"/>
    <col min="519" max="519" width="9" style="1"/>
    <col min="520" max="533" width="5.77734375" style="1" customWidth="1"/>
    <col min="534" max="766" width="9" style="1"/>
    <col min="767" max="767" width="1.109375" style="1" customWidth="1"/>
    <col min="768" max="768" width="11.88671875" style="1" customWidth="1"/>
    <col min="769" max="769" width="13.109375" style="1" customWidth="1"/>
    <col min="770" max="770" width="11.33203125" style="1" customWidth="1"/>
    <col min="771" max="772" width="8.6640625" style="1" customWidth="1"/>
    <col min="773" max="773" width="5.44140625" style="1" customWidth="1"/>
    <col min="774" max="774" width="8.44140625" style="1" customWidth="1"/>
    <col min="775" max="775" width="9" style="1"/>
    <col min="776" max="789" width="5.77734375" style="1" customWidth="1"/>
    <col min="790" max="1022" width="9" style="1"/>
    <col min="1023" max="1023" width="1.109375" style="1" customWidth="1"/>
    <col min="1024" max="1024" width="11.88671875" style="1" customWidth="1"/>
    <col min="1025" max="1025" width="13.109375" style="1" customWidth="1"/>
    <col min="1026" max="1026" width="11.33203125" style="1" customWidth="1"/>
    <col min="1027" max="1028" width="8.6640625" style="1" customWidth="1"/>
    <col min="1029" max="1029" width="5.44140625" style="1" customWidth="1"/>
    <col min="1030" max="1030" width="8.44140625" style="1" customWidth="1"/>
    <col min="1031" max="1031" width="9" style="1"/>
    <col min="1032" max="1045" width="5.77734375" style="1" customWidth="1"/>
    <col min="1046" max="1278" width="9" style="1"/>
    <col min="1279" max="1279" width="1.109375" style="1" customWidth="1"/>
    <col min="1280" max="1280" width="11.88671875" style="1" customWidth="1"/>
    <col min="1281" max="1281" width="13.109375" style="1" customWidth="1"/>
    <col min="1282" max="1282" width="11.33203125" style="1" customWidth="1"/>
    <col min="1283" max="1284" width="8.6640625" style="1" customWidth="1"/>
    <col min="1285" max="1285" width="5.44140625" style="1" customWidth="1"/>
    <col min="1286" max="1286" width="8.44140625" style="1" customWidth="1"/>
    <col min="1287" max="1287" width="9" style="1"/>
    <col min="1288" max="1301" width="5.77734375" style="1" customWidth="1"/>
    <col min="1302" max="1534" width="9" style="1"/>
    <col min="1535" max="1535" width="1.109375" style="1" customWidth="1"/>
    <col min="1536" max="1536" width="11.88671875" style="1" customWidth="1"/>
    <col min="1537" max="1537" width="13.109375" style="1" customWidth="1"/>
    <col min="1538" max="1538" width="11.33203125" style="1" customWidth="1"/>
    <col min="1539" max="1540" width="8.6640625" style="1" customWidth="1"/>
    <col min="1541" max="1541" width="5.44140625" style="1" customWidth="1"/>
    <col min="1542" max="1542" width="8.44140625" style="1" customWidth="1"/>
    <col min="1543" max="1543" width="9" style="1"/>
    <col min="1544" max="1557" width="5.77734375" style="1" customWidth="1"/>
    <col min="1558" max="1790" width="9" style="1"/>
    <col min="1791" max="1791" width="1.109375" style="1" customWidth="1"/>
    <col min="1792" max="1792" width="11.88671875" style="1" customWidth="1"/>
    <col min="1793" max="1793" width="13.109375" style="1" customWidth="1"/>
    <col min="1794" max="1794" width="11.33203125" style="1" customWidth="1"/>
    <col min="1795" max="1796" width="8.6640625" style="1" customWidth="1"/>
    <col min="1797" max="1797" width="5.44140625" style="1" customWidth="1"/>
    <col min="1798" max="1798" width="8.44140625" style="1" customWidth="1"/>
    <col min="1799" max="1799" width="9" style="1"/>
    <col min="1800" max="1813" width="5.77734375" style="1" customWidth="1"/>
    <col min="1814" max="2046" width="9" style="1"/>
    <col min="2047" max="2047" width="1.109375" style="1" customWidth="1"/>
    <col min="2048" max="2048" width="11.88671875" style="1" customWidth="1"/>
    <col min="2049" max="2049" width="13.109375" style="1" customWidth="1"/>
    <col min="2050" max="2050" width="11.33203125" style="1" customWidth="1"/>
    <col min="2051" max="2052" width="8.6640625" style="1" customWidth="1"/>
    <col min="2053" max="2053" width="5.44140625" style="1" customWidth="1"/>
    <col min="2054" max="2054" width="8.44140625" style="1" customWidth="1"/>
    <col min="2055" max="2055" width="9" style="1"/>
    <col min="2056" max="2069" width="5.77734375" style="1" customWidth="1"/>
    <col min="2070" max="2302" width="9" style="1"/>
    <col min="2303" max="2303" width="1.109375" style="1" customWidth="1"/>
    <col min="2304" max="2304" width="11.88671875" style="1" customWidth="1"/>
    <col min="2305" max="2305" width="13.109375" style="1" customWidth="1"/>
    <col min="2306" max="2306" width="11.33203125" style="1" customWidth="1"/>
    <col min="2307" max="2308" width="8.6640625" style="1" customWidth="1"/>
    <col min="2309" max="2309" width="5.44140625" style="1" customWidth="1"/>
    <col min="2310" max="2310" width="8.44140625" style="1" customWidth="1"/>
    <col min="2311" max="2311" width="9" style="1"/>
    <col min="2312" max="2325" width="5.77734375" style="1" customWidth="1"/>
    <col min="2326" max="2558" width="9" style="1"/>
    <col min="2559" max="2559" width="1.109375" style="1" customWidth="1"/>
    <col min="2560" max="2560" width="11.88671875" style="1" customWidth="1"/>
    <col min="2561" max="2561" width="13.109375" style="1" customWidth="1"/>
    <col min="2562" max="2562" width="11.33203125" style="1" customWidth="1"/>
    <col min="2563" max="2564" width="8.6640625" style="1" customWidth="1"/>
    <col min="2565" max="2565" width="5.44140625" style="1" customWidth="1"/>
    <col min="2566" max="2566" width="8.44140625" style="1" customWidth="1"/>
    <col min="2567" max="2567" width="9" style="1"/>
    <col min="2568" max="2581" width="5.77734375" style="1" customWidth="1"/>
    <col min="2582" max="2814" width="9" style="1"/>
    <col min="2815" max="2815" width="1.109375" style="1" customWidth="1"/>
    <col min="2816" max="2816" width="11.88671875" style="1" customWidth="1"/>
    <col min="2817" max="2817" width="13.109375" style="1" customWidth="1"/>
    <col min="2818" max="2818" width="11.33203125" style="1" customWidth="1"/>
    <col min="2819" max="2820" width="8.6640625" style="1" customWidth="1"/>
    <col min="2821" max="2821" width="5.44140625" style="1" customWidth="1"/>
    <col min="2822" max="2822" width="8.44140625" style="1" customWidth="1"/>
    <col min="2823" max="2823" width="9" style="1"/>
    <col min="2824" max="2837" width="5.77734375" style="1" customWidth="1"/>
    <col min="2838" max="3070" width="9" style="1"/>
    <col min="3071" max="3071" width="1.109375" style="1" customWidth="1"/>
    <col min="3072" max="3072" width="11.88671875" style="1" customWidth="1"/>
    <col min="3073" max="3073" width="13.109375" style="1" customWidth="1"/>
    <col min="3074" max="3074" width="11.33203125" style="1" customWidth="1"/>
    <col min="3075" max="3076" width="8.6640625" style="1" customWidth="1"/>
    <col min="3077" max="3077" width="5.44140625" style="1" customWidth="1"/>
    <col min="3078" max="3078" width="8.44140625" style="1" customWidth="1"/>
    <col min="3079" max="3079" width="9" style="1"/>
    <col min="3080" max="3093" width="5.77734375" style="1" customWidth="1"/>
    <col min="3094" max="3326" width="9" style="1"/>
    <col min="3327" max="3327" width="1.109375" style="1" customWidth="1"/>
    <col min="3328" max="3328" width="11.88671875" style="1" customWidth="1"/>
    <col min="3329" max="3329" width="13.109375" style="1" customWidth="1"/>
    <col min="3330" max="3330" width="11.33203125" style="1" customWidth="1"/>
    <col min="3331" max="3332" width="8.6640625" style="1" customWidth="1"/>
    <col min="3333" max="3333" width="5.44140625" style="1" customWidth="1"/>
    <col min="3334" max="3334" width="8.44140625" style="1" customWidth="1"/>
    <col min="3335" max="3335" width="9" style="1"/>
    <col min="3336" max="3349" width="5.77734375" style="1" customWidth="1"/>
    <col min="3350" max="3582" width="9" style="1"/>
    <col min="3583" max="3583" width="1.109375" style="1" customWidth="1"/>
    <col min="3584" max="3584" width="11.88671875" style="1" customWidth="1"/>
    <col min="3585" max="3585" width="13.109375" style="1" customWidth="1"/>
    <col min="3586" max="3586" width="11.33203125" style="1" customWidth="1"/>
    <col min="3587" max="3588" width="8.6640625" style="1" customWidth="1"/>
    <col min="3589" max="3589" width="5.44140625" style="1" customWidth="1"/>
    <col min="3590" max="3590" width="8.44140625" style="1" customWidth="1"/>
    <col min="3591" max="3591" width="9" style="1"/>
    <col min="3592" max="3605" width="5.77734375" style="1" customWidth="1"/>
    <col min="3606" max="3838" width="9" style="1"/>
    <col min="3839" max="3839" width="1.109375" style="1" customWidth="1"/>
    <col min="3840" max="3840" width="11.88671875" style="1" customWidth="1"/>
    <col min="3841" max="3841" width="13.109375" style="1" customWidth="1"/>
    <col min="3842" max="3842" width="11.33203125" style="1" customWidth="1"/>
    <col min="3843" max="3844" width="8.6640625" style="1" customWidth="1"/>
    <col min="3845" max="3845" width="5.44140625" style="1" customWidth="1"/>
    <col min="3846" max="3846" width="8.44140625" style="1" customWidth="1"/>
    <col min="3847" max="3847" width="9" style="1"/>
    <col min="3848" max="3861" width="5.77734375" style="1" customWidth="1"/>
    <col min="3862" max="4094" width="9" style="1"/>
    <col min="4095" max="4095" width="1.109375" style="1" customWidth="1"/>
    <col min="4096" max="4096" width="11.88671875" style="1" customWidth="1"/>
    <col min="4097" max="4097" width="13.109375" style="1" customWidth="1"/>
    <col min="4098" max="4098" width="11.33203125" style="1" customWidth="1"/>
    <col min="4099" max="4100" width="8.6640625" style="1" customWidth="1"/>
    <col min="4101" max="4101" width="5.44140625" style="1" customWidth="1"/>
    <col min="4102" max="4102" width="8.44140625" style="1" customWidth="1"/>
    <col min="4103" max="4103" width="9" style="1"/>
    <col min="4104" max="4117" width="5.77734375" style="1" customWidth="1"/>
    <col min="4118" max="4350" width="9" style="1"/>
    <col min="4351" max="4351" width="1.109375" style="1" customWidth="1"/>
    <col min="4352" max="4352" width="11.88671875" style="1" customWidth="1"/>
    <col min="4353" max="4353" width="13.109375" style="1" customWidth="1"/>
    <col min="4354" max="4354" width="11.33203125" style="1" customWidth="1"/>
    <col min="4355" max="4356" width="8.6640625" style="1" customWidth="1"/>
    <col min="4357" max="4357" width="5.44140625" style="1" customWidth="1"/>
    <col min="4358" max="4358" width="8.44140625" style="1" customWidth="1"/>
    <col min="4359" max="4359" width="9" style="1"/>
    <col min="4360" max="4373" width="5.77734375" style="1" customWidth="1"/>
    <col min="4374" max="4606" width="9" style="1"/>
    <col min="4607" max="4607" width="1.109375" style="1" customWidth="1"/>
    <col min="4608" max="4608" width="11.88671875" style="1" customWidth="1"/>
    <col min="4609" max="4609" width="13.109375" style="1" customWidth="1"/>
    <col min="4610" max="4610" width="11.33203125" style="1" customWidth="1"/>
    <col min="4611" max="4612" width="8.6640625" style="1" customWidth="1"/>
    <col min="4613" max="4613" width="5.44140625" style="1" customWidth="1"/>
    <col min="4614" max="4614" width="8.44140625" style="1" customWidth="1"/>
    <col min="4615" max="4615" width="9" style="1"/>
    <col min="4616" max="4629" width="5.77734375" style="1" customWidth="1"/>
    <col min="4630" max="4862" width="9" style="1"/>
    <col min="4863" max="4863" width="1.109375" style="1" customWidth="1"/>
    <col min="4864" max="4864" width="11.88671875" style="1" customWidth="1"/>
    <col min="4865" max="4865" width="13.109375" style="1" customWidth="1"/>
    <col min="4866" max="4866" width="11.33203125" style="1" customWidth="1"/>
    <col min="4867" max="4868" width="8.6640625" style="1" customWidth="1"/>
    <col min="4869" max="4869" width="5.44140625" style="1" customWidth="1"/>
    <col min="4870" max="4870" width="8.44140625" style="1" customWidth="1"/>
    <col min="4871" max="4871" width="9" style="1"/>
    <col min="4872" max="4885" width="5.77734375" style="1" customWidth="1"/>
    <col min="4886" max="5118" width="9" style="1"/>
    <col min="5119" max="5119" width="1.109375" style="1" customWidth="1"/>
    <col min="5120" max="5120" width="11.88671875" style="1" customWidth="1"/>
    <col min="5121" max="5121" width="13.109375" style="1" customWidth="1"/>
    <col min="5122" max="5122" width="11.33203125" style="1" customWidth="1"/>
    <col min="5123" max="5124" width="8.6640625" style="1" customWidth="1"/>
    <col min="5125" max="5125" width="5.44140625" style="1" customWidth="1"/>
    <col min="5126" max="5126" width="8.44140625" style="1" customWidth="1"/>
    <col min="5127" max="5127" width="9" style="1"/>
    <col min="5128" max="5141" width="5.77734375" style="1" customWidth="1"/>
    <col min="5142" max="5374" width="9" style="1"/>
    <col min="5375" max="5375" width="1.109375" style="1" customWidth="1"/>
    <col min="5376" max="5376" width="11.88671875" style="1" customWidth="1"/>
    <col min="5377" max="5377" width="13.109375" style="1" customWidth="1"/>
    <col min="5378" max="5378" width="11.33203125" style="1" customWidth="1"/>
    <col min="5379" max="5380" width="8.6640625" style="1" customWidth="1"/>
    <col min="5381" max="5381" width="5.44140625" style="1" customWidth="1"/>
    <col min="5382" max="5382" width="8.44140625" style="1" customWidth="1"/>
    <col min="5383" max="5383" width="9" style="1"/>
    <col min="5384" max="5397" width="5.77734375" style="1" customWidth="1"/>
    <col min="5398" max="5630" width="9" style="1"/>
    <col min="5631" max="5631" width="1.109375" style="1" customWidth="1"/>
    <col min="5632" max="5632" width="11.88671875" style="1" customWidth="1"/>
    <col min="5633" max="5633" width="13.109375" style="1" customWidth="1"/>
    <col min="5634" max="5634" width="11.33203125" style="1" customWidth="1"/>
    <col min="5635" max="5636" width="8.6640625" style="1" customWidth="1"/>
    <col min="5637" max="5637" width="5.44140625" style="1" customWidth="1"/>
    <col min="5638" max="5638" width="8.44140625" style="1" customWidth="1"/>
    <col min="5639" max="5639" width="9" style="1"/>
    <col min="5640" max="5653" width="5.77734375" style="1" customWidth="1"/>
    <col min="5654" max="5886" width="9" style="1"/>
    <col min="5887" max="5887" width="1.109375" style="1" customWidth="1"/>
    <col min="5888" max="5888" width="11.88671875" style="1" customWidth="1"/>
    <col min="5889" max="5889" width="13.109375" style="1" customWidth="1"/>
    <col min="5890" max="5890" width="11.33203125" style="1" customWidth="1"/>
    <col min="5891" max="5892" width="8.6640625" style="1" customWidth="1"/>
    <col min="5893" max="5893" width="5.44140625" style="1" customWidth="1"/>
    <col min="5894" max="5894" width="8.44140625" style="1" customWidth="1"/>
    <col min="5895" max="5895" width="9" style="1"/>
    <col min="5896" max="5909" width="5.77734375" style="1" customWidth="1"/>
    <col min="5910" max="6142" width="9" style="1"/>
    <col min="6143" max="6143" width="1.109375" style="1" customWidth="1"/>
    <col min="6144" max="6144" width="11.88671875" style="1" customWidth="1"/>
    <col min="6145" max="6145" width="13.109375" style="1" customWidth="1"/>
    <col min="6146" max="6146" width="11.33203125" style="1" customWidth="1"/>
    <col min="6147" max="6148" width="8.6640625" style="1" customWidth="1"/>
    <col min="6149" max="6149" width="5.44140625" style="1" customWidth="1"/>
    <col min="6150" max="6150" width="8.44140625" style="1" customWidth="1"/>
    <col min="6151" max="6151" width="9" style="1"/>
    <col min="6152" max="6165" width="5.77734375" style="1" customWidth="1"/>
    <col min="6166" max="6398" width="9" style="1"/>
    <col min="6399" max="6399" width="1.109375" style="1" customWidth="1"/>
    <col min="6400" max="6400" width="11.88671875" style="1" customWidth="1"/>
    <col min="6401" max="6401" width="13.109375" style="1" customWidth="1"/>
    <col min="6402" max="6402" width="11.33203125" style="1" customWidth="1"/>
    <col min="6403" max="6404" width="8.6640625" style="1" customWidth="1"/>
    <col min="6405" max="6405" width="5.44140625" style="1" customWidth="1"/>
    <col min="6406" max="6406" width="8.44140625" style="1" customWidth="1"/>
    <col min="6407" max="6407" width="9" style="1"/>
    <col min="6408" max="6421" width="5.77734375" style="1" customWidth="1"/>
    <col min="6422" max="6654" width="9" style="1"/>
    <col min="6655" max="6655" width="1.109375" style="1" customWidth="1"/>
    <col min="6656" max="6656" width="11.88671875" style="1" customWidth="1"/>
    <col min="6657" max="6657" width="13.109375" style="1" customWidth="1"/>
    <col min="6658" max="6658" width="11.33203125" style="1" customWidth="1"/>
    <col min="6659" max="6660" width="8.6640625" style="1" customWidth="1"/>
    <col min="6661" max="6661" width="5.44140625" style="1" customWidth="1"/>
    <col min="6662" max="6662" width="8.44140625" style="1" customWidth="1"/>
    <col min="6663" max="6663" width="9" style="1"/>
    <col min="6664" max="6677" width="5.77734375" style="1" customWidth="1"/>
    <col min="6678" max="6910" width="9" style="1"/>
    <col min="6911" max="6911" width="1.109375" style="1" customWidth="1"/>
    <col min="6912" max="6912" width="11.88671875" style="1" customWidth="1"/>
    <col min="6913" max="6913" width="13.109375" style="1" customWidth="1"/>
    <col min="6914" max="6914" width="11.33203125" style="1" customWidth="1"/>
    <col min="6915" max="6916" width="8.6640625" style="1" customWidth="1"/>
    <col min="6917" max="6917" width="5.44140625" style="1" customWidth="1"/>
    <col min="6918" max="6918" width="8.44140625" style="1" customWidth="1"/>
    <col min="6919" max="6919" width="9" style="1"/>
    <col min="6920" max="6933" width="5.77734375" style="1" customWidth="1"/>
    <col min="6934" max="7166" width="9" style="1"/>
    <col min="7167" max="7167" width="1.109375" style="1" customWidth="1"/>
    <col min="7168" max="7168" width="11.88671875" style="1" customWidth="1"/>
    <col min="7169" max="7169" width="13.109375" style="1" customWidth="1"/>
    <col min="7170" max="7170" width="11.33203125" style="1" customWidth="1"/>
    <col min="7171" max="7172" width="8.6640625" style="1" customWidth="1"/>
    <col min="7173" max="7173" width="5.44140625" style="1" customWidth="1"/>
    <col min="7174" max="7174" width="8.44140625" style="1" customWidth="1"/>
    <col min="7175" max="7175" width="9" style="1"/>
    <col min="7176" max="7189" width="5.77734375" style="1" customWidth="1"/>
    <col min="7190" max="7422" width="9" style="1"/>
    <col min="7423" max="7423" width="1.109375" style="1" customWidth="1"/>
    <col min="7424" max="7424" width="11.88671875" style="1" customWidth="1"/>
    <col min="7425" max="7425" width="13.109375" style="1" customWidth="1"/>
    <col min="7426" max="7426" width="11.33203125" style="1" customWidth="1"/>
    <col min="7427" max="7428" width="8.6640625" style="1" customWidth="1"/>
    <col min="7429" max="7429" width="5.44140625" style="1" customWidth="1"/>
    <col min="7430" max="7430" width="8.44140625" style="1" customWidth="1"/>
    <col min="7431" max="7431" width="9" style="1"/>
    <col min="7432" max="7445" width="5.77734375" style="1" customWidth="1"/>
    <col min="7446" max="7678" width="9" style="1"/>
    <col min="7679" max="7679" width="1.109375" style="1" customWidth="1"/>
    <col min="7680" max="7680" width="11.88671875" style="1" customWidth="1"/>
    <col min="7681" max="7681" width="13.109375" style="1" customWidth="1"/>
    <col min="7682" max="7682" width="11.33203125" style="1" customWidth="1"/>
    <col min="7683" max="7684" width="8.6640625" style="1" customWidth="1"/>
    <col min="7685" max="7685" width="5.44140625" style="1" customWidth="1"/>
    <col min="7686" max="7686" width="8.44140625" style="1" customWidth="1"/>
    <col min="7687" max="7687" width="9" style="1"/>
    <col min="7688" max="7701" width="5.77734375" style="1" customWidth="1"/>
    <col min="7702" max="7934" width="9" style="1"/>
    <col min="7935" max="7935" width="1.109375" style="1" customWidth="1"/>
    <col min="7936" max="7936" width="11.88671875" style="1" customWidth="1"/>
    <col min="7937" max="7937" width="13.109375" style="1" customWidth="1"/>
    <col min="7938" max="7938" width="11.33203125" style="1" customWidth="1"/>
    <col min="7939" max="7940" width="8.6640625" style="1" customWidth="1"/>
    <col min="7941" max="7941" width="5.44140625" style="1" customWidth="1"/>
    <col min="7942" max="7942" width="8.44140625" style="1" customWidth="1"/>
    <col min="7943" max="7943" width="9" style="1"/>
    <col min="7944" max="7957" width="5.77734375" style="1" customWidth="1"/>
    <col min="7958" max="8190" width="9" style="1"/>
    <col min="8191" max="8191" width="1.109375" style="1" customWidth="1"/>
    <col min="8192" max="8192" width="11.88671875" style="1" customWidth="1"/>
    <col min="8193" max="8193" width="13.109375" style="1" customWidth="1"/>
    <col min="8194" max="8194" width="11.33203125" style="1" customWidth="1"/>
    <col min="8195" max="8196" width="8.6640625" style="1" customWidth="1"/>
    <col min="8197" max="8197" width="5.44140625" style="1" customWidth="1"/>
    <col min="8198" max="8198" width="8.44140625" style="1" customWidth="1"/>
    <col min="8199" max="8199" width="9" style="1"/>
    <col min="8200" max="8213" width="5.77734375" style="1" customWidth="1"/>
    <col min="8214" max="8446" width="9" style="1"/>
    <col min="8447" max="8447" width="1.109375" style="1" customWidth="1"/>
    <col min="8448" max="8448" width="11.88671875" style="1" customWidth="1"/>
    <col min="8449" max="8449" width="13.109375" style="1" customWidth="1"/>
    <col min="8450" max="8450" width="11.33203125" style="1" customWidth="1"/>
    <col min="8451" max="8452" width="8.6640625" style="1" customWidth="1"/>
    <col min="8453" max="8453" width="5.44140625" style="1" customWidth="1"/>
    <col min="8454" max="8454" width="8.44140625" style="1" customWidth="1"/>
    <col min="8455" max="8455" width="9" style="1"/>
    <col min="8456" max="8469" width="5.77734375" style="1" customWidth="1"/>
    <col min="8470" max="8702" width="9" style="1"/>
    <col min="8703" max="8703" width="1.109375" style="1" customWidth="1"/>
    <col min="8704" max="8704" width="11.88671875" style="1" customWidth="1"/>
    <col min="8705" max="8705" width="13.109375" style="1" customWidth="1"/>
    <col min="8706" max="8706" width="11.33203125" style="1" customWidth="1"/>
    <col min="8707" max="8708" width="8.6640625" style="1" customWidth="1"/>
    <col min="8709" max="8709" width="5.44140625" style="1" customWidth="1"/>
    <col min="8710" max="8710" width="8.44140625" style="1" customWidth="1"/>
    <col min="8711" max="8711" width="9" style="1"/>
    <col min="8712" max="8725" width="5.77734375" style="1" customWidth="1"/>
    <col min="8726" max="8958" width="9" style="1"/>
    <col min="8959" max="8959" width="1.109375" style="1" customWidth="1"/>
    <col min="8960" max="8960" width="11.88671875" style="1" customWidth="1"/>
    <col min="8961" max="8961" width="13.109375" style="1" customWidth="1"/>
    <col min="8962" max="8962" width="11.33203125" style="1" customWidth="1"/>
    <col min="8963" max="8964" width="8.6640625" style="1" customWidth="1"/>
    <col min="8965" max="8965" width="5.44140625" style="1" customWidth="1"/>
    <col min="8966" max="8966" width="8.44140625" style="1" customWidth="1"/>
    <col min="8967" max="8967" width="9" style="1"/>
    <col min="8968" max="8981" width="5.77734375" style="1" customWidth="1"/>
    <col min="8982" max="9214" width="9" style="1"/>
    <col min="9215" max="9215" width="1.109375" style="1" customWidth="1"/>
    <col min="9216" max="9216" width="11.88671875" style="1" customWidth="1"/>
    <col min="9217" max="9217" width="13.109375" style="1" customWidth="1"/>
    <col min="9218" max="9218" width="11.33203125" style="1" customWidth="1"/>
    <col min="9219" max="9220" width="8.6640625" style="1" customWidth="1"/>
    <col min="9221" max="9221" width="5.44140625" style="1" customWidth="1"/>
    <col min="9222" max="9222" width="8.44140625" style="1" customWidth="1"/>
    <col min="9223" max="9223" width="9" style="1"/>
    <col min="9224" max="9237" width="5.77734375" style="1" customWidth="1"/>
    <col min="9238" max="9470" width="9" style="1"/>
    <col min="9471" max="9471" width="1.109375" style="1" customWidth="1"/>
    <col min="9472" max="9472" width="11.88671875" style="1" customWidth="1"/>
    <col min="9473" max="9473" width="13.109375" style="1" customWidth="1"/>
    <col min="9474" max="9474" width="11.33203125" style="1" customWidth="1"/>
    <col min="9475" max="9476" width="8.6640625" style="1" customWidth="1"/>
    <col min="9477" max="9477" width="5.44140625" style="1" customWidth="1"/>
    <col min="9478" max="9478" width="8.44140625" style="1" customWidth="1"/>
    <col min="9479" max="9479" width="9" style="1"/>
    <col min="9480" max="9493" width="5.77734375" style="1" customWidth="1"/>
    <col min="9494" max="9726" width="9" style="1"/>
    <col min="9727" max="9727" width="1.109375" style="1" customWidth="1"/>
    <col min="9728" max="9728" width="11.88671875" style="1" customWidth="1"/>
    <col min="9729" max="9729" width="13.109375" style="1" customWidth="1"/>
    <col min="9730" max="9730" width="11.33203125" style="1" customWidth="1"/>
    <col min="9731" max="9732" width="8.6640625" style="1" customWidth="1"/>
    <col min="9733" max="9733" width="5.44140625" style="1" customWidth="1"/>
    <col min="9734" max="9734" width="8.44140625" style="1" customWidth="1"/>
    <col min="9735" max="9735" width="9" style="1"/>
    <col min="9736" max="9749" width="5.77734375" style="1" customWidth="1"/>
    <col min="9750" max="9982" width="9" style="1"/>
    <col min="9983" max="9983" width="1.109375" style="1" customWidth="1"/>
    <col min="9984" max="9984" width="11.88671875" style="1" customWidth="1"/>
    <col min="9985" max="9985" width="13.109375" style="1" customWidth="1"/>
    <col min="9986" max="9986" width="11.33203125" style="1" customWidth="1"/>
    <col min="9987" max="9988" width="8.6640625" style="1" customWidth="1"/>
    <col min="9989" max="9989" width="5.44140625" style="1" customWidth="1"/>
    <col min="9990" max="9990" width="8.44140625" style="1" customWidth="1"/>
    <col min="9991" max="9991" width="9" style="1"/>
    <col min="9992" max="10005" width="5.77734375" style="1" customWidth="1"/>
    <col min="10006" max="10238" width="9" style="1"/>
    <col min="10239" max="10239" width="1.109375" style="1" customWidth="1"/>
    <col min="10240" max="10240" width="11.88671875" style="1" customWidth="1"/>
    <col min="10241" max="10241" width="13.109375" style="1" customWidth="1"/>
    <col min="10242" max="10242" width="11.33203125" style="1" customWidth="1"/>
    <col min="10243" max="10244" width="8.6640625" style="1" customWidth="1"/>
    <col min="10245" max="10245" width="5.44140625" style="1" customWidth="1"/>
    <col min="10246" max="10246" width="8.44140625" style="1" customWidth="1"/>
    <col min="10247" max="10247" width="9" style="1"/>
    <col min="10248" max="10261" width="5.77734375" style="1" customWidth="1"/>
    <col min="10262" max="10494" width="9" style="1"/>
    <col min="10495" max="10495" width="1.109375" style="1" customWidth="1"/>
    <col min="10496" max="10496" width="11.88671875" style="1" customWidth="1"/>
    <col min="10497" max="10497" width="13.109375" style="1" customWidth="1"/>
    <col min="10498" max="10498" width="11.33203125" style="1" customWidth="1"/>
    <col min="10499" max="10500" width="8.6640625" style="1" customWidth="1"/>
    <col min="10501" max="10501" width="5.44140625" style="1" customWidth="1"/>
    <col min="10502" max="10502" width="8.44140625" style="1" customWidth="1"/>
    <col min="10503" max="10503" width="9" style="1"/>
    <col min="10504" max="10517" width="5.77734375" style="1" customWidth="1"/>
    <col min="10518" max="10750" width="9" style="1"/>
    <col min="10751" max="10751" width="1.109375" style="1" customWidth="1"/>
    <col min="10752" max="10752" width="11.88671875" style="1" customWidth="1"/>
    <col min="10753" max="10753" width="13.109375" style="1" customWidth="1"/>
    <col min="10754" max="10754" width="11.33203125" style="1" customWidth="1"/>
    <col min="10755" max="10756" width="8.6640625" style="1" customWidth="1"/>
    <col min="10757" max="10757" width="5.44140625" style="1" customWidth="1"/>
    <col min="10758" max="10758" width="8.44140625" style="1" customWidth="1"/>
    <col min="10759" max="10759" width="9" style="1"/>
    <col min="10760" max="10773" width="5.77734375" style="1" customWidth="1"/>
    <col min="10774" max="11006" width="9" style="1"/>
    <col min="11007" max="11007" width="1.109375" style="1" customWidth="1"/>
    <col min="11008" max="11008" width="11.88671875" style="1" customWidth="1"/>
    <col min="11009" max="11009" width="13.109375" style="1" customWidth="1"/>
    <col min="11010" max="11010" width="11.33203125" style="1" customWidth="1"/>
    <col min="11011" max="11012" width="8.6640625" style="1" customWidth="1"/>
    <col min="11013" max="11013" width="5.44140625" style="1" customWidth="1"/>
    <col min="11014" max="11014" width="8.44140625" style="1" customWidth="1"/>
    <col min="11015" max="11015" width="9" style="1"/>
    <col min="11016" max="11029" width="5.77734375" style="1" customWidth="1"/>
    <col min="11030" max="11262" width="9" style="1"/>
    <col min="11263" max="11263" width="1.109375" style="1" customWidth="1"/>
    <col min="11264" max="11264" width="11.88671875" style="1" customWidth="1"/>
    <col min="11265" max="11265" width="13.109375" style="1" customWidth="1"/>
    <col min="11266" max="11266" width="11.33203125" style="1" customWidth="1"/>
    <col min="11267" max="11268" width="8.6640625" style="1" customWidth="1"/>
    <col min="11269" max="11269" width="5.44140625" style="1" customWidth="1"/>
    <col min="11270" max="11270" width="8.44140625" style="1" customWidth="1"/>
    <col min="11271" max="11271" width="9" style="1"/>
    <col min="11272" max="11285" width="5.77734375" style="1" customWidth="1"/>
    <col min="11286" max="11518" width="9" style="1"/>
    <col min="11519" max="11519" width="1.109375" style="1" customWidth="1"/>
    <col min="11520" max="11520" width="11.88671875" style="1" customWidth="1"/>
    <col min="11521" max="11521" width="13.109375" style="1" customWidth="1"/>
    <col min="11522" max="11522" width="11.33203125" style="1" customWidth="1"/>
    <col min="11523" max="11524" width="8.6640625" style="1" customWidth="1"/>
    <col min="11525" max="11525" width="5.44140625" style="1" customWidth="1"/>
    <col min="11526" max="11526" width="8.44140625" style="1" customWidth="1"/>
    <col min="11527" max="11527" width="9" style="1"/>
    <col min="11528" max="11541" width="5.77734375" style="1" customWidth="1"/>
    <col min="11542" max="11774" width="9" style="1"/>
    <col min="11775" max="11775" width="1.109375" style="1" customWidth="1"/>
    <col min="11776" max="11776" width="11.88671875" style="1" customWidth="1"/>
    <col min="11777" max="11777" width="13.109375" style="1" customWidth="1"/>
    <col min="11778" max="11778" width="11.33203125" style="1" customWidth="1"/>
    <col min="11779" max="11780" width="8.6640625" style="1" customWidth="1"/>
    <col min="11781" max="11781" width="5.44140625" style="1" customWidth="1"/>
    <col min="11782" max="11782" width="8.44140625" style="1" customWidth="1"/>
    <col min="11783" max="11783" width="9" style="1"/>
    <col min="11784" max="11797" width="5.77734375" style="1" customWidth="1"/>
    <col min="11798" max="12030" width="9" style="1"/>
    <col min="12031" max="12031" width="1.109375" style="1" customWidth="1"/>
    <col min="12032" max="12032" width="11.88671875" style="1" customWidth="1"/>
    <col min="12033" max="12033" width="13.109375" style="1" customWidth="1"/>
    <col min="12034" max="12034" width="11.33203125" style="1" customWidth="1"/>
    <col min="12035" max="12036" width="8.6640625" style="1" customWidth="1"/>
    <col min="12037" max="12037" width="5.44140625" style="1" customWidth="1"/>
    <col min="12038" max="12038" width="8.44140625" style="1" customWidth="1"/>
    <col min="12039" max="12039" width="9" style="1"/>
    <col min="12040" max="12053" width="5.77734375" style="1" customWidth="1"/>
    <col min="12054" max="12286" width="9" style="1"/>
    <col min="12287" max="12287" width="1.109375" style="1" customWidth="1"/>
    <col min="12288" max="12288" width="11.88671875" style="1" customWidth="1"/>
    <col min="12289" max="12289" width="13.109375" style="1" customWidth="1"/>
    <col min="12290" max="12290" width="11.33203125" style="1" customWidth="1"/>
    <col min="12291" max="12292" width="8.6640625" style="1" customWidth="1"/>
    <col min="12293" max="12293" width="5.44140625" style="1" customWidth="1"/>
    <col min="12294" max="12294" width="8.44140625" style="1" customWidth="1"/>
    <col min="12295" max="12295" width="9" style="1"/>
    <col min="12296" max="12309" width="5.77734375" style="1" customWidth="1"/>
    <col min="12310" max="12542" width="9" style="1"/>
    <col min="12543" max="12543" width="1.109375" style="1" customWidth="1"/>
    <col min="12544" max="12544" width="11.88671875" style="1" customWidth="1"/>
    <col min="12545" max="12545" width="13.109375" style="1" customWidth="1"/>
    <col min="12546" max="12546" width="11.33203125" style="1" customWidth="1"/>
    <col min="12547" max="12548" width="8.6640625" style="1" customWidth="1"/>
    <col min="12549" max="12549" width="5.44140625" style="1" customWidth="1"/>
    <col min="12550" max="12550" width="8.44140625" style="1" customWidth="1"/>
    <col min="12551" max="12551" width="9" style="1"/>
    <col min="12552" max="12565" width="5.77734375" style="1" customWidth="1"/>
    <col min="12566" max="12798" width="9" style="1"/>
    <col min="12799" max="12799" width="1.109375" style="1" customWidth="1"/>
    <col min="12800" max="12800" width="11.88671875" style="1" customWidth="1"/>
    <col min="12801" max="12801" width="13.109375" style="1" customWidth="1"/>
    <col min="12802" max="12802" width="11.33203125" style="1" customWidth="1"/>
    <col min="12803" max="12804" width="8.6640625" style="1" customWidth="1"/>
    <col min="12805" max="12805" width="5.44140625" style="1" customWidth="1"/>
    <col min="12806" max="12806" width="8.44140625" style="1" customWidth="1"/>
    <col min="12807" max="12807" width="9" style="1"/>
    <col min="12808" max="12821" width="5.77734375" style="1" customWidth="1"/>
    <col min="12822" max="13054" width="9" style="1"/>
    <col min="13055" max="13055" width="1.109375" style="1" customWidth="1"/>
    <col min="13056" max="13056" width="11.88671875" style="1" customWidth="1"/>
    <col min="13057" max="13057" width="13.109375" style="1" customWidth="1"/>
    <col min="13058" max="13058" width="11.33203125" style="1" customWidth="1"/>
    <col min="13059" max="13060" width="8.6640625" style="1" customWidth="1"/>
    <col min="13061" max="13061" width="5.44140625" style="1" customWidth="1"/>
    <col min="13062" max="13062" width="8.44140625" style="1" customWidth="1"/>
    <col min="13063" max="13063" width="9" style="1"/>
    <col min="13064" max="13077" width="5.77734375" style="1" customWidth="1"/>
    <col min="13078" max="13310" width="9" style="1"/>
    <col min="13311" max="13311" width="1.109375" style="1" customWidth="1"/>
    <col min="13312" max="13312" width="11.88671875" style="1" customWidth="1"/>
    <col min="13313" max="13313" width="13.109375" style="1" customWidth="1"/>
    <col min="13314" max="13314" width="11.33203125" style="1" customWidth="1"/>
    <col min="13315" max="13316" width="8.6640625" style="1" customWidth="1"/>
    <col min="13317" max="13317" width="5.44140625" style="1" customWidth="1"/>
    <col min="13318" max="13318" width="8.44140625" style="1" customWidth="1"/>
    <col min="13319" max="13319" width="9" style="1"/>
    <col min="13320" max="13333" width="5.77734375" style="1" customWidth="1"/>
    <col min="13334" max="13566" width="9" style="1"/>
    <col min="13567" max="13567" width="1.109375" style="1" customWidth="1"/>
    <col min="13568" max="13568" width="11.88671875" style="1" customWidth="1"/>
    <col min="13569" max="13569" width="13.109375" style="1" customWidth="1"/>
    <col min="13570" max="13570" width="11.33203125" style="1" customWidth="1"/>
    <col min="13571" max="13572" width="8.6640625" style="1" customWidth="1"/>
    <col min="13573" max="13573" width="5.44140625" style="1" customWidth="1"/>
    <col min="13574" max="13574" width="8.44140625" style="1" customWidth="1"/>
    <col min="13575" max="13575" width="9" style="1"/>
    <col min="13576" max="13589" width="5.77734375" style="1" customWidth="1"/>
    <col min="13590" max="13822" width="9" style="1"/>
    <col min="13823" max="13823" width="1.109375" style="1" customWidth="1"/>
    <col min="13824" max="13824" width="11.88671875" style="1" customWidth="1"/>
    <col min="13825" max="13825" width="13.109375" style="1" customWidth="1"/>
    <col min="13826" max="13826" width="11.33203125" style="1" customWidth="1"/>
    <col min="13827" max="13828" width="8.6640625" style="1" customWidth="1"/>
    <col min="13829" max="13829" width="5.44140625" style="1" customWidth="1"/>
    <col min="13830" max="13830" width="8.44140625" style="1" customWidth="1"/>
    <col min="13831" max="13831" width="9" style="1"/>
    <col min="13832" max="13845" width="5.77734375" style="1" customWidth="1"/>
    <col min="13846" max="14078" width="9" style="1"/>
    <col min="14079" max="14079" width="1.109375" style="1" customWidth="1"/>
    <col min="14080" max="14080" width="11.88671875" style="1" customWidth="1"/>
    <col min="14081" max="14081" width="13.109375" style="1" customWidth="1"/>
    <col min="14082" max="14082" width="11.33203125" style="1" customWidth="1"/>
    <col min="14083" max="14084" width="8.6640625" style="1" customWidth="1"/>
    <col min="14085" max="14085" width="5.44140625" style="1" customWidth="1"/>
    <col min="14086" max="14086" width="8.44140625" style="1" customWidth="1"/>
    <col min="14087" max="14087" width="9" style="1"/>
    <col min="14088" max="14101" width="5.77734375" style="1" customWidth="1"/>
    <col min="14102" max="14334" width="9" style="1"/>
    <col min="14335" max="14335" width="1.109375" style="1" customWidth="1"/>
    <col min="14336" max="14336" width="11.88671875" style="1" customWidth="1"/>
    <col min="14337" max="14337" width="13.109375" style="1" customWidth="1"/>
    <col min="14338" max="14338" width="11.33203125" style="1" customWidth="1"/>
    <col min="14339" max="14340" width="8.6640625" style="1" customWidth="1"/>
    <col min="14341" max="14341" width="5.44140625" style="1" customWidth="1"/>
    <col min="14342" max="14342" width="8.44140625" style="1" customWidth="1"/>
    <col min="14343" max="14343" width="9" style="1"/>
    <col min="14344" max="14357" width="5.77734375" style="1" customWidth="1"/>
    <col min="14358" max="14590" width="9" style="1"/>
    <col min="14591" max="14591" width="1.109375" style="1" customWidth="1"/>
    <col min="14592" max="14592" width="11.88671875" style="1" customWidth="1"/>
    <col min="14593" max="14593" width="13.109375" style="1" customWidth="1"/>
    <col min="14594" max="14594" width="11.33203125" style="1" customWidth="1"/>
    <col min="14595" max="14596" width="8.6640625" style="1" customWidth="1"/>
    <col min="14597" max="14597" width="5.44140625" style="1" customWidth="1"/>
    <col min="14598" max="14598" width="8.44140625" style="1" customWidth="1"/>
    <col min="14599" max="14599" width="9" style="1"/>
    <col min="14600" max="14613" width="5.77734375" style="1" customWidth="1"/>
    <col min="14614" max="14846" width="9" style="1"/>
    <col min="14847" max="14847" width="1.109375" style="1" customWidth="1"/>
    <col min="14848" max="14848" width="11.88671875" style="1" customWidth="1"/>
    <col min="14849" max="14849" width="13.109375" style="1" customWidth="1"/>
    <col min="14850" max="14850" width="11.33203125" style="1" customWidth="1"/>
    <col min="14851" max="14852" width="8.6640625" style="1" customWidth="1"/>
    <col min="14853" max="14853" width="5.44140625" style="1" customWidth="1"/>
    <col min="14854" max="14854" width="8.44140625" style="1" customWidth="1"/>
    <col min="14855" max="14855" width="9" style="1"/>
    <col min="14856" max="14869" width="5.77734375" style="1" customWidth="1"/>
    <col min="14870" max="15102" width="9" style="1"/>
    <col min="15103" max="15103" width="1.109375" style="1" customWidth="1"/>
    <col min="15104" max="15104" width="11.88671875" style="1" customWidth="1"/>
    <col min="15105" max="15105" width="13.109375" style="1" customWidth="1"/>
    <col min="15106" max="15106" width="11.33203125" style="1" customWidth="1"/>
    <col min="15107" max="15108" width="8.6640625" style="1" customWidth="1"/>
    <col min="15109" max="15109" width="5.44140625" style="1" customWidth="1"/>
    <col min="15110" max="15110" width="8.44140625" style="1" customWidth="1"/>
    <col min="15111" max="15111" width="9" style="1"/>
    <col min="15112" max="15125" width="5.77734375" style="1" customWidth="1"/>
    <col min="15126" max="15358" width="9" style="1"/>
    <col min="15359" max="15359" width="1.109375" style="1" customWidth="1"/>
    <col min="15360" max="15360" width="11.88671875" style="1" customWidth="1"/>
    <col min="15361" max="15361" width="13.109375" style="1" customWidth="1"/>
    <col min="15362" max="15362" width="11.33203125" style="1" customWidth="1"/>
    <col min="15363" max="15364" width="8.6640625" style="1" customWidth="1"/>
    <col min="15365" max="15365" width="5.44140625" style="1" customWidth="1"/>
    <col min="15366" max="15366" width="8.44140625" style="1" customWidth="1"/>
    <col min="15367" max="15367" width="9" style="1"/>
    <col min="15368" max="15381" width="5.77734375" style="1" customWidth="1"/>
    <col min="15382" max="15614" width="9" style="1"/>
    <col min="15615" max="15615" width="1.109375" style="1" customWidth="1"/>
    <col min="15616" max="15616" width="11.88671875" style="1" customWidth="1"/>
    <col min="15617" max="15617" width="13.109375" style="1" customWidth="1"/>
    <col min="15618" max="15618" width="11.33203125" style="1" customWidth="1"/>
    <col min="15619" max="15620" width="8.6640625" style="1" customWidth="1"/>
    <col min="15621" max="15621" width="5.44140625" style="1" customWidth="1"/>
    <col min="15622" max="15622" width="8.44140625" style="1" customWidth="1"/>
    <col min="15623" max="15623" width="9" style="1"/>
    <col min="15624" max="15637" width="5.77734375" style="1" customWidth="1"/>
    <col min="15638" max="15870" width="9" style="1"/>
    <col min="15871" max="15871" width="1.109375" style="1" customWidth="1"/>
    <col min="15872" max="15872" width="11.88671875" style="1" customWidth="1"/>
    <col min="15873" max="15873" width="13.109375" style="1" customWidth="1"/>
    <col min="15874" max="15874" width="11.33203125" style="1" customWidth="1"/>
    <col min="15875" max="15876" width="8.6640625" style="1" customWidth="1"/>
    <col min="15877" max="15877" width="5.44140625" style="1" customWidth="1"/>
    <col min="15878" max="15878" width="8.44140625" style="1" customWidth="1"/>
    <col min="15879" max="15879" width="9" style="1"/>
    <col min="15880" max="15893" width="5.77734375" style="1" customWidth="1"/>
    <col min="15894" max="16126" width="9" style="1"/>
    <col min="16127" max="16127" width="1.109375" style="1" customWidth="1"/>
    <col min="16128" max="16128" width="11.88671875" style="1" customWidth="1"/>
    <col min="16129" max="16129" width="13.109375" style="1" customWidth="1"/>
    <col min="16130" max="16130" width="11.33203125" style="1" customWidth="1"/>
    <col min="16131" max="16132" width="8.6640625" style="1" customWidth="1"/>
    <col min="16133" max="16133" width="5.44140625" style="1" customWidth="1"/>
    <col min="16134" max="16134" width="8.44140625" style="1" customWidth="1"/>
    <col min="16135" max="16135" width="9" style="1"/>
    <col min="16136" max="16149" width="5.77734375" style="1" customWidth="1"/>
    <col min="16150" max="16384" width="9" style="1"/>
  </cols>
  <sheetData>
    <row r="1" spans="2:17">
      <c r="F1" s="124" t="s">
        <v>52</v>
      </c>
      <c r="G1" s="125"/>
      <c r="H1" s="125"/>
    </row>
    <row r="2" spans="2:17">
      <c r="B2" s="2" t="s">
        <v>53</v>
      </c>
      <c r="C2" s="3">
        <v>200</v>
      </c>
      <c r="F2" s="4" t="s">
        <v>54</v>
      </c>
      <c r="G2" s="2" t="s">
        <v>55</v>
      </c>
      <c r="H2" s="5" t="s">
        <v>56</v>
      </c>
    </row>
    <row r="3" spans="2:17">
      <c r="B3" s="2" t="s">
        <v>57</v>
      </c>
      <c r="C3" s="6">
        <v>35</v>
      </c>
      <c r="F3" s="7">
        <v>45</v>
      </c>
      <c r="G3" s="8">
        <v>0.05</v>
      </c>
      <c r="H3" s="9">
        <v>0</v>
      </c>
    </row>
    <row r="4" spans="2:17">
      <c r="B4" s="2" t="s">
        <v>58</v>
      </c>
      <c r="C4" s="3">
        <v>40</v>
      </c>
      <c r="F4" s="7">
        <v>50</v>
      </c>
      <c r="G4" s="10">
        <v>0.3</v>
      </c>
      <c r="H4" s="11">
        <v>0.05</v>
      </c>
    </row>
    <row r="5" spans="2:17">
      <c r="B5" s="2" t="s">
        <v>59</v>
      </c>
      <c r="C5" s="3">
        <v>6</v>
      </c>
      <c r="F5" s="7">
        <v>60</v>
      </c>
      <c r="G5" s="8">
        <v>0.4</v>
      </c>
      <c r="H5" s="11">
        <v>0.35</v>
      </c>
    </row>
    <row r="6" spans="2:17">
      <c r="F6" s="7">
        <v>70</v>
      </c>
      <c r="G6" s="8">
        <v>0.2</v>
      </c>
      <c r="H6" s="11">
        <v>0.75</v>
      </c>
    </row>
    <row r="7" spans="2:17">
      <c r="B7" s="4" t="s">
        <v>60</v>
      </c>
      <c r="C7" s="148">
        <f ca="1">INT(NORMINV(RAND(),C4,C5))</f>
        <v>49</v>
      </c>
      <c r="F7" s="7">
        <v>80</v>
      </c>
      <c r="G7" s="8">
        <v>0.05</v>
      </c>
      <c r="H7" s="11">
        <v>0.95</v>
      </c>
    </row>
    <row r="8" spans="2:17">
      <c r="B8" s="4" t="s">
        <v>61</v>
      </c>
      <c r="C8" s="148">
        <f ca="1">INDEX(F3:F7,MATCH(RAND(),H3:H7))</f>
        <v>50</v>
      </c>
    </row>
    <row r="9" spans="2:17">
      <c r="F9" s="5" t="s">
        <v>62</v>
      </c>
      <c r="G9" s="2">
        <v>20</v>
      </c>
      <c r="H9" s="2">
        <v>22</v>
      </c>
      <c r="I9" s="2">
        <v>24</v>
      </c>
      <c r="J9" s="2">
        <v>26</v>
      </c>
      <c r="K9" s="2">
        <v>28</v>
      </c>
      <c r="L9" s="2">
        <v>30</v>
      </c>
      <c r="M9" s="2">
        <v>32</v>
      </c>
      <c r="N9" s="2">
        <v>34</v>
      </c>
      <c r="O9" s="2">
        <v>36</v>
      </c>
      <c r="P9" s="2">
        <v>38</v>
      </c>
      <c r="Q9" s="2">
        <v>40</v>
      </c>
    </row>
    <row r="10" spans="2:17">
      <c r="B10" s="4" t="s">
        <v>63</v>
      </c>
      <c r="C10" s="149">
        <f ca="1">IF(C7&gt;C3,0,C3-C7)</f>
        <v>0</v>
      </c>
      <c r="F10" s="12" t="s">
        <v>64</v>
      </c>
      <c r="G10" s="13">
        <f>SUM(G14:G213)/200</f>
        <v>0</v>
      </c>
      <c r="H10" s="13">
        <f t="shared" ref="H10:Q10" si="0">SUM(H14:H213)/200</f>
        <v>0</v>
      </c>
      <c r="I10" s="13">
        <f t="shared" si="0"/>
        <v>0</v>
      </c>
      <c r="J10" s="13">
        <f t="shared" si="0"/>
        <v>1.4999999999999999E-2</v>
      </c>
      <c r="K10" s="13">
        <f t="shared" si="0"/>
        <v>0.03</v>
      </c>
      <c r="L10" s="13">
        <f t="shared" si="0"/>
        <v>0.06</v>
      </c>
      <c r="M10" s="13">
        <f t="shared" si="0"/>
        <v>0.08</v>
      </c>
      <c r="N10" s="13">
        <f t="shared" si="0"/>
        <v>0.21</v>
      </c>
      <c r="O10" s="13">
        <f t="shared" si="0"/>
        <v>0.24</v>
      </c>
      <c r="P10" s="13">
        <f t="shared" si="0"/>
        <v>0.38500000000000001</v>
      </c>
      <c r="Q10" s="13">
        <f t="shared" si="0"/>
        <v>0.505</v>
      </c>
    </row>
    <row r="11" spans="2:17">
      <c r="B11" s="4" t="s">
        <v>65</v>
      </c>
      <c r="C11" s="149">
        <f ca="1">C3*C8-IF(C7&gt;C3,0,C3-C7)</f>
        <v>1750</v>
      </c>
    </row>
    <row r="12" spans="2:17">
      <c r="B12" s="4" t="s">
        <v>66</v>
      </c>
      <c r="C12" s="149">
        <f ca="1">IF(C10&gt;0,1,0)</f>
        <v>0</v>
      </c>
      <c r="F12" s="14" t="s">
        <v>67</v>
      </c>
    </row>
    <row r="13" spans="2:17">
      <c r="F13" s="15">
        <f ca="1">C12</f>
        <v>0</v>
      </c>
      <c r="G13" s="2">
        <v>20</v>
      </c>
      <c r="H13" s="2">
        <v>22</v>
      </c>
      <c r="I13" s="2">
        <v>24</v>
      </c>
      <c r="J13" s="2">
        <v>26</v>
      </c>
      <c r="K13" s="2">
        <v>28</v>
      </c>
      <c r="L13" s="2">
        <v>30</v>
      </c>
      <c r="M13" s="2">
        <v>32</v>
      </c>
      <c r="N13" s="2">
        <v>34</v>
      </c>
      <c r="O13" s="2">
        <v>36</v>
      </c>
      <c r="P13" s="2">
        <v>38</v>
      </c>
      <c r="Q13" s="2">
        <v>40</v>
      </c>
    </row>
    <row r="14" spans="2:17">
      <c r="F14" s="16">
        <v>1</v>
      </c>
      <c r="G14" s="17">
        <f t="dataTable" ref="G14:Q213" dt2D="1" dtr="1" r1="C3" r2="B19" ca="1"/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</row>
    <row r="15" spans="2:17">
      <c r="F15" s="18">
        <v>2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0</v>
      </c>
      <c r="P15" s="19">
        <v>1</v>
      </c>
      <c r="Q15" s="19">
        <v>1</v>
      </c>
    </row>
    <row r="16" spans="2:17">
      <c r="F16" s="18">
        <v>3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1</v>
      </c>
    </row>
    <row r="17" spans="6:17">
      <c r="F17" s="18">
        <v>4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</row>
    <row r="18" spans="6:17">
      <c r="F18" s="18">
        <v>5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</v>
      </c>
    </row>
    <row r="19" spans="6:17">
      <c r="F19" s="18">
        <v>6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1</v>
      </c>
      <c r="Q19" s="19">
        <v>0</v>
      </c>
    </row>
    <row r="20" spans="6:17">
      <c r="F20" s="18">
        <v>7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1</v>
      </c>
    </row>
    <row r="21" spans="6:17">
      <c r="F21" s="18">
        <v>8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</row>
    <row r="22" spans="6:17">
      <c r="F22" s="18">
        <v>9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1</v>
      </c>
      <c r="N22" s="19">
        <v>1</v>
      </c>
      <c r="O22" s="19">
        <v>0</v>
      </c>
      <c r="P22" s="19">
        <v>0</v>
      </c>
      <c r="Q22" s="19">
        <v>0</v>
      </c>
    </row>
    <row r="23" spans="6:17">
      <c r="F23" s="18">
        <v>10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</v>
      </c>
      <c r="Q23" s="19">
        <v>1</v>
      </c>
    </row>
    <row r="24" spans="6:17">
      <c r="F24" s="18">
        <v>11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1</v>
      </c>
      <c r="P24" s="19">
        <v>0</v>
      </c>
      <c r="Q24" s="19">
        <v>1</v>
      </c>
    </row>
    <row r="25" spans="6:17">
      <c r="F25" s="18">
        <v>12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</row>
    <row r="26" spans="6:17">
      <c r="F26" s="18">
        <v>13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</v>
      </c>
      <c r="N26" s="19">
        <v>1</v>
      </c>
      <c r="O26" s="19">
        <v>0</v>
      </c>
      <c r="P26" s="19">
        <v>1</v>
      </c>
      <c r="Q26" s="19">
        <v>0</v>
      </c>
    </row>
    <row r="27" spans="6:17">
      <c r="F27" s="18">
        <v>14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</row>
    <row r="28" spans="6:17">
      <c r="F28" s="18">
        <v>15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</row>
    <row r="29" spans="6:17">
      <c r="F29" s="18">
        <v>16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</v>
      </c>
      <c r="Q29" s="19">
        <v>0</v>
      </c>
    </row>
    <row r="30" spans="6:17">
      <c r="F30" s="18">
        <v>17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1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</row>
    <row r="31" spans="6:17">
      <c r="F31" s="18">
        <v>18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1</v>
      </c>
      <c r="P31" s="19">
        <v>1</v>
      </c>
      <c r="Q31" s="19">
        <v>1</v>
      </c>
    </row>
    <row r="32" spans="6:17">
      <c r="F32" s="18">
        <v>19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1</v>
      </c>
    </row>
    <row r="33" spans="6:17">
      <c r="F33" s="18">
        <v>20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</v>
      </c>
      <c r="Q33" s="19">
        <v>0</v>
      </c>
    </row>
    <row r="34" spans="6:17">
      <c r="F34" s="18">
        <v>21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1</v>
      </c>
      <c r="P34" s="19">
        <v>0</v>
      </c>
      <c r="Q34" s="19">
        <v>1</v>
      </c>
    </row>
    <row r="35" spans="6:17">
      <c r="F35" s="18">
        <v>22</v>
      </c>
      <c r="G35" s="19">
        <v>0</v>
      </c>
      <c r="H35" s="19">
        <v>0</v>
      </c>
      <c r="I35" s="19">
        <v>0</v>
      </c>
      <c r="J35" s="19">
        <v>1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</v>
      </c>
    </row>
    <row r="36" spans="6:17">
      <c r="F36" s="18">
        <v>23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0</v>
      </c>
      <c r="P36" s="19">
        <v>0</v>
      </c>
      <c r="Q36" s="19">
        <v>1</v>
      </c>
    </row>
    <row r="37" spans="6:17">
      <c r="F37" s="18">
        <v>24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1</v>
      </c>
      <c r="O37" s="19">
        <v>0</v>
      </c>
      <c r="P37" s="19">
        <v>1</v>
      </c>
      <c r="Q37" s="19">
        <v>0</v>
      </c>
    </row>
    <row r="38" spans="6:17">
      <c r="F38" s="18">
        <v>25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1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</row>
    <row r="39" spans="6:17">
      <c r="F39" s="18">
        <v>26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1</v>
      </c>
      <c r="M39" s="19">
        <v>0</v>
      </c>
      <c r="N39" s="19">
        <v>0</v>
      </c>
      <c r="O39" s="19">
        <v>1</v>
      </c>
      <c r="P39" s="19">
        <v>0</v>
      </c>
      <c r="Q39" s="19">
        <v>0</v>
      </c>
    </row>
    <row r="40" spans="6:17">
      <c r="F40" s="18">
        <v>27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1</v>
      </c>
    </row>
    <row r="41" spans="6:17">
      <c r="F41" s="18">
        <v>28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1</v>
      </c>
      <c r="N41" s="19">
        <v>0</v>
      </c>
      <c r="O41" s="19">
        <v>1</v>
      </c>
      <c r="P41" s="19">
        <v>0</v>
      </c>
      <c r="Q41" s="19">
        <v>0</v>
      </c>
    </row>
    <row r="42" spans="6:17">
      <c r="F42" s="18">
        <v>29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1</v>
      </c>
      <c r="O42" s="19">
        <v>1</v>
      </c>
      <c r="P42" s="19">
        <v>1</v>
      </c>
      <c r="Q42" s="19">
        <v>0</v>
      </c>
    </row>
    <row r="43" spans="6:17">
      <c r="F43" s="18">
        <v>30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1</v>
      </c>
    </row>
    <row r="44" spans="6:17">
      <c r="F44" s="18">
        <v>31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1</v>
      </c>
      <c r="N44" s="19">
        <v>1</v>
      </c>
      <c r="O44" s="19">
        <v>0</v>
      </c>
      <c r="P44" s="19">
        <v>0</v>
      </c>
      <c r="Q44" s="19">
        <v>0</v>
      </c>
    </row>
    <row r="45" spans="6:17">
      <c r="F45" s="18">
        <v>32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1</v>
      </c>
      <c r="N45" s="19">
        <v>0</v>
      </c>
      <c r="O45" s="19">
        <v>0</v>
      </c>
      <c r="P45" s="19">
        <v>0</v>
      </c>
      <c r="Q45" s="19">
        <v>0</v>
      </c>
    </row>
    <row r="46" spans="6:17">
      <c r="F46" s="18">
        <v>33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</row>
    <row r="47" spans="6:17">
      <c r="F47" s="18">
        <v>34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</row>
    <row r="48" spans="6:17">
      <c r="F48" s="18">
        <v>35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</v>
      </c>
      <c r="Q48" s="19">
        <v>1</v>
      </c>
    </row>
    <row r="49" spans="6:17">
      <c r="F49" s="18">
        <v>36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</row>
    <row r="50" spans="6:17">
      <c r="F50" s="18">
        <v>37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1</v>
      </c>
      <c r="Q50" s="19">
        <v>0</v>
      </c>
    </row>
    <row r="51" spans="6:17">
      <c r="F51" s="18">
        <v>38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1</v>
      </c>
      <c r="O51" s="19">
        <v>0</v>
      </c>
      <c r="P51" s="19">
        <v>0</v>
      </c>
      <c r="Q51" s="19">
        <v>1</v>
      </c>
    </row>
    <row r="52" spans="6:17">
      <c r="F52" s="18">
        <v>39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1</v>
      </c>
    </row>
    <row r="53" spans="6:17">
      <c r="F53" s="18">
        <v>40</v>
      </c>
      <c r="G53" s="19">
        <v>0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1</v>
      </c>
    </row>
    <row r="54" spans="6:17">
      <c r="F54" s="18">
        <v>41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</row>
    <row r="55" spans="6:17">
      <c r="F55" s="18">
        <v>42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1</v>
      </c>
    </row>
    <row r="56" spans="6:17">
      <c r="F56" s="18">
        <v>43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</row>
    <row r="57" spans="6:17">
      <c r="F57" s="18">
        <v>44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1</v>
      </c>
      <c r="Q57" s="19">
        <v>0</v>
      </c>
    </row>
    <row r="58" spans="6:17">
      <c r="F58" s="18">
        <v>45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1</v>
      </c>
      <c r="P58" s="19">
        <v>1</v>
      </c>
      <c r="Q58" s="19">
        <v>0</v>
      </c>
    </row>
    <row r="59" spans="6:17">
      <c r="F59" s="18">
        <v>46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1</v>
      </c>
      <c r="P59" s="19">
        <v>0</v>
      </c>
      <c r="Q59" s="19">
        <v>0</v>
      </c>
    </row>
    <row r="60" spans="6:17">
      <c r="F60" s="18">
        <v>47</v>
      </c>
      <c r="G60" s="19">
        <v>0</v>
      </c>
      <c r="H60" s="19">
        <v>0</v>
      </c>
      <c r="I60" s="19">
        <v>0</v>
      </c>
      <c r="J60" s="19">
        <v>0</v>
      </c>
      <c r="K60" s="19">
        <v>1</v>
      </c>
      <c r="L60" s="19">
        <v>0</v>
      </c>
      <c r="M60" s="19">
        <v>0</v>
      </c>
      <c r="N60" s="19">
        <v>0</v>
      </c>
      <c r="O60" s="19">
        <v>0</v>
      </c>
      <c r="P60" s="19">
        <v>1</v>
      </c>
      <c r="Q60" s="19">
        <v>1</v>
      </c>
    </row>
    <row r="61" spans="6:17">
      <c r="F61" s="18">
        <v>48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1</v>
      </c>
      <c r="P61" s="19">
        <v>1</v>
      </c>
      <c r="Q61" s="19">
        <v>0</v>
      </c>
    </row>
    <row r="62" spans="6:17">
      <c r="F62" s="18">
        <v>49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1</v>
      </c>
    </row>
    <row r="63" spans="6:17">
      <c r="F63" s="18">
        <v>50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1</v>
      </c>
      <c r="Q63" s="19">
        <v>1</v>
      </c>
    </row>
    <row r="64" spans="6:17">
      <c r="F64" s="18">
        <v>51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1</v>
      </c>
    </row>
    <row r="65" spans="6:17">
      <c r="F65" s="18">
        <v>52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1</v>
      </c>
    </row>
    <row r="66" spans="6:17">
      <c r="F66" s="18">
        <v>53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1</v>
      </c>
    </row>
    <row r="67" spans="6:17">
      <c r="F67" s="18">
        <v>54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1</v>
      </c>
      <c r="P67" s="19">
        <v>0</v>
      </c>
      <c r="Q67" s="19">
        <v>1</v>
      </c>
    </row>
    <row r="68" spans="6:17">
      <c r="F68" s="18">
        <v>55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1</v>
      </c>
      <c r="Q68" s="19">
        <v>1</v>
      </c>
    </row>
    <row r="69" spans="6:17">
      <c r="F69" s="18">
        <v>56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1</v>
      </c>
      <c r="Q69" s="19">
        <v>0</v>
      </c>
    </row>
    <row r="70" spans="6:17">
      <c r="F70" s="18">
        <v>57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</v>
      </c>
      <c r="Q70" s="19">
        <v>1</v>
      </c>
    </row>
    <row r="71" spans="6:17">
      <c r="F71" s="18">
        <v>58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1</v>
      </c>
      <c r="O71" s="19">
        <v>0</v>
      </c>
      <c r="P71" s="19">
        <v>0</v>
      </c>
      <c r="Q71" s="19">
        <v>0</v>
      </c>
    </row>
    <row r="72" spans="6:17">
      <c r="F72" s="18">
        <v>59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1</v>
      </c>
      <c r="Q72" s="19">
        <v>0</v>
      </c>
    </row>
    <row r="73" spans="6:17">
      <c r="F73" s="18">
        <v>60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</row>
    <row r="74" spans="6:17">
      <c r="F74" s="18">
        <v>61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1</v>
      </c>
      <c r="O74" s="19">
        <v>0</v>
      </c>
      <c r="P74" s="19">
        <v>0</v>
      </c>
      <c r="Q74" s="19">
        <v>1</v>
      </c>
    </row>
    <row r="75" spans="6:17">
      <c r="F75" s="18">
        <v>62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1</v>
      </c>
    </row>
    <row r="76" spans="6:17">
      <c r="F76" s="18">
        <v>63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1</v>
      </c>
      <c r="P76" s="19">
        <v>0</v>
      </c>
      <c r="Q76" s="19">
        <v>1</v>
      </c>
    </row>
    <row r="77" spans="6:17">
      <c r="F77" s="18">
        <v>64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1</v>
      </c>
    </row>
    <row r="78" spans="6:17">
      <c r="F78" s="18">
        <v>65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</row>
    <row r="79" spans="6:17">
      <c r="F79" s="18">
        <v>66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1</v>
      </c>
      <c r="O79" s="19">
        <v>0</v>
      </c>
      <c r="P79" s="19">
        <v>0</v>
      </c>
      <c r="Q79" s="19">
        <v>0</v>
      </c>
    </row>
    <row r="80" spans="6:17">
      <c r="F80" s="18">
        <v>67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</row>
    <row r="81" spans="6:17">
      <c r="F81" s="18">
        <v>68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</row>
    <row r="82" spans="6:17">
      <c r="F82" s="18">
        <v>69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</v>
      </c>
      <c r="P82" s="19">
        <v>0</v>
      </c>
      <c r="Q82" s="19">
        <v>0</v>
      </c>
    </row>
    <row r="83" spans="6:17">
      <c r="F83" s="18">
        <v>70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1</v>
      </c>
      <c r="O83" s="19">
        <v>0</v>
      </c>
      <c r="P83" s="19">
        <v>0</v>
      </c>
      <c r="Q83" s="19">
        <v>1</v>
      </c>
    </row>
    <row r="84" spans="6:17">
      <c r="F84" s="18">
        <v>71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1</v>
      </c>
      <c r="Q84" s="19">
        <v>0</v>
      </c>
    </row>
    <row r="85" spans="6:17">
      <c r="F85" s="18">
        <v>72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1</v>
      </c>
      <c r="M85" s="19">
        <v>0</v>
      </c>
      <c r="N85" s="19">
        <v>0</v>
      </c>
      <c r="O85" s="19">
        <v>1</v>
      </c>
      <c r="P85" s="19">
        <v>0</v>
      </c>
      <c r="Q85" s="19">
        <v>1</v>
      </c>
    </row>
    <row r="86" spans="6:17">
      <c r="F86" s="18">
        <v>73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1</v>
      </c>
      <c r="Q86" s="19">
        <v>0</v>
      </c>
    </row>
    <row r="87" spans="6:17">
      <c r="F87" s="18">
        <v>74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1</v>
      </c>
      <c r="O87" s="19">
        <v>0</v>
      </c>
      <c r="P87" s="19">
        <v>0</v>
      </c>
      <c r="Q87" s="19">
        <v>1</v>
      </c>
    </row>
    <row r="88" spans="6:17">
      <c r="F88" s="18">
        <v>75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1</v>
      </c>
      <c r="Q88" s="19">
        <v>0</v>
      </c>
    </row>
    <row r="89" spans="6:17">
      <c r="F89" s="18">
        <v>76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1</v>
      </c>
      <c r="O89" s="19">
        <v>0</v>
      </c>
      <c r="P89" s="19">
        <v>1</v>
      </c>
      <c r="Q89" s="19">
        <v>1</v>
      </c>
    </row>
    <row r="90" spans="6:17">
      <c r="F90" s="18">
        <v>77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1</v>
      </c>
      <c r="P90" s="19">
        <v>0</v>
      </c>
      <c r="Q90" s="19">
        <v>0</v>
      </c>
    </row>
    <row r="91" spans="6:17">
      <c r="F91" s="18">
        <v>78</v>
      </c>
      <c r="G91" s="19">
        <v>0</v>
      </c>
      <c r="H91" s="19">
        <v>0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</row>
    <row r="92" spans="6:17">
      <c r="F92" s="18">
        <v>79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</row>
    <row r="93" spans="6:17">
      <c r="F93" s="18">
        <v>80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1</v>
      </c>
      <c r="P93" s="19">
        <v>0</v>
      </c>
      <c r="Q93" s="19">
        <v>1</v>
      </c>
    </row>
    <row r="94" spans="6:17">
      <c r="F94" s="18">
        <v>81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1</v>
      </c>
      <c r="M94" s="19">
        <v>0</v>
      </c>
      <c r="N94" s="19">
        <v>0</v>
      </c>
      <c r="O94" s="19">
        <v>0</v>
      </c>
      <c r="P94" s="19">
        <v>1</v>
      </c>
      <c r="Q94" s="19">
        <v>1</v>
      </c>
    </row>
    <row r="95" spans="6:17">
      <c r="F95" s="18">
        <v>82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1</v>
      </c>
      <c r="Q95" s="19">
        <v>0</v>
      </c>
    </row>
    <row r="96" spans="6:17">
      <c r="F96" s="18">
        <v>83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</row>
    <row r="97" spans="6:17">
      <c r="F97" s="18">
        <v>84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1</v>
      </c>
      <c r="O97" s="19">
        <v>1</v>
      </c>
      <c r="P97" s="19">
        <v>1</v>
      </c>
      <c r="Q97" s="19">
        <v>1</v>
      </c>
    </row>
    <row r="98" spans="6:17">
      <c r="F98" s="18">
        <v>85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1</v>
      </c>
    </row>
    <row r="99" spans="6:17">
      <c r="F99" s="18">
        <v>86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</row>
    <row r="100" spans="6:17">
      <c r="F100" s="18">
        <v>87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</v>
      </c>
      <c r="P100" s="19">
        <v>0</v>
      </c>
      <c r="Q100" s="19">
        <v>1</v>
      </c>
    </row>
    <row r="101" spans="6:17">
      <c r="F101" s="18">
        <v>88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1</v>
      </c>
      <c r="Q101" s="19">
        <v>0</v>
      </c>
    </row>
    <row r="102" spans="6:17">
      <c r="F102" s="18">
        <v>89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</row>
    <row r="103" spans="6:17">
      <c r="F103" s="18">
        <v>90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1</v>
      </c>
    </row>
    <row r="104" spans="6:17">
      <c r="F104" s="18">
        <v>91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1</v>
      </c>
    </row>
    <row r="105" spans="6:17">
      <c r="F105" s="18">
        <v>92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</row>
    <row r="106" spans="6:17">
      <c r="F106" s="18">
        <v>93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1</v>
      </c>
      <c r="O106" s="19">
        <v>1</v>
      </c>
      <c r="P106" s="19">
        <v>0</v>
      </c>
      <c r="Q106" s="19">
        <v>1</v>
      </c>
    </row>
    <row r="107" spans="6:17">
      <c r="F107" s="18">
        <v>94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1</v>
      </c>
      <c r="Q107" s="19">
        <v>0</v>
      </c>
    </row>
    <row r="108" spans="6:17">
      <c r="F108" s="18">
        <v>95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</row>
    <row r="109" spans="6:17">
      <c r="F109" s="18">
        <v>96</v>
      </c>
      <c r="G109" s="19">
        <v>0</v>
      </c>
      <c r="H109" s="19">
        <v>0</v>
      </c>
      <c r="I109" s="19">
        <v>0</v>
      </c>
      <c r="J109" s="19">
        <v>1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9">
        <v>1</v>
      </c>
    </row>
    <row r="110" spans="6:17">
      <c r="F110" s="18">
        <v>97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</row>
    <row r="111" spans="6:17">
      <c r="F111" s="18">
        <v>98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1</v>
      </c>
      <c r="Q111" s="19">
        <v>1</v>
      </c>
    </row>
    <row r="112" spans="6:17">
      <c r="F112" s="18">
        <v>99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1</v>
      </c>
    </row>
    <row r="113" spans="6:17">
      <c r="F113" s="18">
        <v>100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0</v>
      </c>
      <c r="P113" s="19">
        <v>0</v>
      </c>
      <c r="Q113" s="19">
        <v>1</v>
      </c>
    </row>
    <row r="114" spans="6:17">
      <c r="F114" s="18">
        <v>101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1</v>
      </c>
      <c r="Q114" s="19">
        <v>0</v>
      </c>
    </row>
    <row r="115" spans="6:17">
      <c r="F115" s="18">
        <v>102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1</v>
      </c>
      <c r="P115" s="19">
        <v>0</v>
      </c>
      <c r="Q115" s="19">
        <v>1</v>
      </c>
    </row>
    <row r="116" spans="6:17">
      <c r="F116" s="18">
        <v>103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</row>
    <row r="117" spans="6:17">
      <c r="F117" s="18">
        <v>104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1</v>
      </c>
      <c r="M117" s="19">
        <v>0</v>
      </c>
      <c r="N117" s="19">
        <v>1</v>
      </c>
      <c r="O117" s="19">
        <v>0</v>
      </c>
      <c r="P117" s="19">
        <v>1</v>
      </c>
      <c r="Q117" s="19">
        <v>1</v>
      </c>
    </row>
    <row r="118" spans="6:17">
      <c r="F118" s="18">
        <v>105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1</v>
      </c>
    </row>
    <row r="119" spans="6:17">
      <c r="F119" s="18">
        <v>106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1</v>
      </c>
      <c r="P119" s="19">
        <v>0</v>
      </c>
      <c r="Q119" s="19">
        <v>0</v>
      </c>
    </row>
    <row r="120" spans="6:17">
      <c r="F120" s="18">
        <v>107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</row>
    <row r="121" spans="6:17">
      <c r="F121" s="18">
        <v>108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1</v>
      </c>
      <c r="Q121" s="19">
        <v>1</v>
      </c>
    </row>
    <row r="122" spans="6:17">
      <c r="F122" s="18">
        <v>109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1</v>
      </c>
      <c r="Q122" s="19">
        <v>0</v>
      </c>
    </row>
    <row r="123" spans="6:17">
      <c r="F123" s="18">
        <v>110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</row>
    <row r="124" spans="6:17">
      <c r="F124" s="18">
        <v>111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1</v>
      </c>
      <c r="P124" s="19">
        <v>0</v>
      </c>
      <c r="Q124" s="19">
        <v>1</v>
      </c>
    </row>
    <row r="125" spans="6:17">
      <c r="F125" s="18">
        <v>112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1</v>
      </c>
      <c r="P125" s="19">
        <v>1</v>
      </c>
      <c r="Q125" s="19">
        <v>0</v>
      </c>
    </row>
    <row r="126" spans="6:17">
      <c r="F126" s="18">
        <v>113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1</v>
      </c>
      <c r="P126" s="19">
        <v>1</v>
      </c>
      <c r="Q126" s="19">
        <v>1</v>
      </c>
    </row>
    <row r="127" spans="6:17">
      <c r="F127" s="18">
        <v>114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1</v>
      </c>
      <c r="N127" s="19">
        <v>1</v>
      </c>
      <c r="O127" s="19">
        <v>0</v>
      </c>
      <c r="P127" s="19">
        <v>1</v>
      </c>
      <c r="Q127" s="19">
        <v>0</v>
      </c>
    </row>
    <row r="128" spans="6:17">
      <c r="F128" s="18">
        <v>115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1</v>
      </c>
      <c r="O128" s="19">
        <v>0</v>
      </c>
      <c r="P128" s="19">
        <v>0</v>
      </c>
      <c r="Q128" s="19">
        <v>0</v>
      </c>
    </row>
    <row r="129" spans="6:17">
      <c r="F129" s="18">
        <v>116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1</v>
      </c>
    </row>
    <row r="130" spans="6:17">
      <c r="F130" s="18">
        <v>117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1</v>
      </c>
      <c r="P130" s="19">
        <v>0</v>
      </c>
      <c r="Q130" s="19">
        <v>0</v>
      </c>
    </row>
    <row r="131" spans="6:17">
      <c r="F131" s="18">
        <v>118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1</v>
      </c>
      <c r="M131" s="19">
        <v>0</v>
      </c>
      <c r="N131" s="19">
        <v>1</v>
      </c>
      <c r="O131" s="19">
        <v>0</v>
      </c>
      <c r="P131" s="19">
        <v>1</v>
      </c>
      <c r="Q131" s="19">
        <v>0</v>
      </c>
    </row>
    <row r="132" spans="6:17">
      <c r="F132" s="18">
        <v>119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</v>
      </c>
    </row>
    <row r="133" spans="6:17">
      <c r="F133" s="18">
        <v>120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1</v>
      </c>
      <c r="N133" s="19">
        <v>0</v>
      </c>
      <c r="O133" s="19">
        <v>0</v>
      </c>
      <c r="P133" s="19">
        <v>0</v>
      </c>
      <c r="Q133" s="19">
        <v>0</v>
      </c>
    </row>
    <row r="134" spans="6:17">
      <c r="F134" s="18">
        <v>121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1</v>
      </c>
      <c r="P134" s="19">
        <v>1</v>
      </c>
      <c r="Q134" s="19">
        <v>1</v>
      </c>
    </row>
    <row r="135" spans="6:17">
      <c r="F135" s="18">
        <v>122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1</v>
      </c>
      <c r="O135" s="19">
        <v>0</v>
      </c>
      <c r="P135" s="19">
        <v>1</v>
      </c>
      <c r="Q135" s="19">
        <v>1</v>
      </c>
    </row>
    <row r="136" spans="6:17">
      <c r="F136" s="18">
        <v>123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1</v>
      </c>
    </row>
    <row r="137" spans="6:17">
      <c r="F137" s="18">
        <v>124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1</v>
      </c>
      <c r="O137" s="19">
        <v>0</v>
      </c>
      <c r="P137" s="19">
        <v>0</v>
      </c>
      <c r="Q137" s="19">
        <v>0</v>
      </c>
    </row>
    <row r="138" spans="6:17">
      <c r="F138" s="18">
        <v>125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1</v>
      </c>
      <c r="N138" s="19">
        <v>0</v>
      </c>
      <c r="O138" s="19">
        <v>0</v>
      </c>
      <c r="P138" s="19">
        <v>0</v>
      </c>
      <c r="Q138" s="19">
        <v>1</v>
      </c>
    </row>
    <row r="139" spans="6:17">
      <c r="F139" s="18">
        <v>126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1</v>
      </c>
    </row>
    <row r="140" spans="6:17">
      <c r="F140" s="18">
        <v>127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1</v>
      </c>
      <c r="O140" s="19">
        <v>1</v>
      </c>
      <c r="P140" s="19">
        <v>1</v>
      </c>
      <c r="Q140" s="19">
        <v>1</v>
      </c>
    </row>
    <row r="141" spans="6:17">
      <c r="F141" s="18">
        <v>128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</row>
    <row r="142" spans="6:17">
      <c r="F142" s="18">
        <v>129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1</v>
      </c>
      <c r="Q142" s="19">
        <v>0</v>
      </c>
    </row>
    <row r="143" spans="6:17">
      <c r="F143" s="18">
        <v>130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1</v>
      </c>
    </row>
    <row r="144" spans="6:17">
      <c r="F144" s="18">
        <v>131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</row>
    <row r="145" spans="6:17">
      <c r="F145" s="18">
        <v>132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1</v>
      </c>
      <c r="P145" s="19">
        <v>0</v>
      </c>
      <c r="Q145" s="19">
        <v>1</v>
      </c>
    </row>
    <row r="146" spans="6:17">
      <c r="F146" s="18">
        <v>133</v>
      </c>
      <c r="G146" s="19">
        <v>0</v>
      </c>
      <c r="H146" s="19">
        <v>0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1</v>
      </c>
    </row>
    <row r="147" spans="6:17">
      <c r="F147" s="18">
        <v>134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</row>
    <row r="148" spans="6:17">
      <c r="F148" s="18">
        <v>135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</row>
    <row r="149" spans="6:17">
      <c r="F149" s="18">
        <v>136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1</v>
      </c>
    </row>
    <row r="150" spans="6:17">
      <c r="F150" s="18">
        <v>137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</row>
    <row r="151" spans="6:17">
      <c r="F151" s="18">
        <v>138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</row>
    <row r="152" spans="6:17">
      <c r="F152" s="18">
        <v>139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1</v>
      </c>
      <c r="O152" s="19">
        <v>0</v>
      </c>
      <c r="P152" s="19">
        <v>0</v>
      </c>
      <c r="Q152" s="19">
        <v>0</v>
      </c>
    </row>
    <row r="153" spans="6:17">
      <c r="F153" s="18">
        <v>140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1</v>
      </c>
      <c r="O153" s="19">
        <v>0</v>
      </c>
      <c r="P153" s="19">
        <v>0</v>
      </c>
      <c r="Q153" s="19">
        <v>0</v>
      </c>
    </row>
    <row r="154" spans="6:17">
      <c r="F154" s="18">
        <v>141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1</v>
      </c>
      <c r="O154" s="19">
        <v>0</v>
      </c>
      <c r="P154" s="19">
        <v>1</v>
      </c>
      <c r="Q154" s="19">
        <v>0</v>
      </c>
    </row>
    <row r="155" spans="6:17">
      <c r="F155" s="18">
        <v>142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</v>
      </c>
      <c r="P155" s="19">
        <v>1</v>
      </c>
      <c r="Q155" s="19">
        <v>0</v>
      </c>
    </row>
    <row r="156" spans="6:17">
      <c r="F156" s="18">
        <v>143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1</v>
      </c>
      <c r="Q156" s="19">
        <v>1</v>
      </c>
    </row>
    <row r="157" spans="6:17">
      <c r="F157" s="18">
        <v>144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</v>
      </c>
      <c r="M157" s="19">
        <v>0</v>
      </c>
      <c r="N157" s="19">
        <v>1</v>
      </c>
      <c r="O157" s="19">
        <v>0</v>
      </c>
      <c r="P157" s="19">
        <v>0</v>
      </c>
      <c r="Q157" s="19">
        <v>0</v>
      </c>
    </row>
    <row r="158" spans="6:17">
      <c r="F158" s="18">
        <v>145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1</v>
      </c>
      <c r="O158" s="19">
        <v>1</v>
      </c>
      <c r="P158" s="19">
        <v>1</v>
      </c>
      <c r="Q158" s="19">
        <v>1</v>
      </c>
    </row>
    <row r="159" spans="6:17">
      <c r="F159" s="18">
        <v>146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1</v>
      </c>
      <c r="O159" s="19">
        <v>1</v>
      </c>
      <c r="P159" s="19">
        <v>0</v>
      </c>
      <c r="Q159" s="19">
        <v>1</v>
      </c>
    </row>
    <row r="160" spans="6:17">
      <c r="F160" s="18">
        <v>147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1</v>
      </c>
      <c r="P160" s="19">
        <v>1</v>
      </c>
      <c r="Q160" s="19">
        <v>0</v>
      </c>
    </row>
    <row r="161" spans="6:17">
      <c r="F161" s="18">
        <v>148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1</v>
      </c>
      <c r="Q161" s="19">
        <v>1</v>
      </c>
    </row>
    <row r="162" spans="6:17">
      <c r="F162" s="18">
        <v>149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</row>
    <row r="163" spans="6:17">
      <c r="F163" s="18">
        <v>150</v>
      </c>
      <c r="G163" s="19">
        <v>0</v>
      </c>
      <c r="H163" s="19">
        <v>0</v>
      </c>
      <c r="I163" s="19">
        <v>0</v>
      </c>
      <c r="J163" s="19">
        <v>0</v>
      </c>
      <c r="K163" s="19">
        <v>1</v>
      </c>
      <c r="L163" s="19">
        <v>0</v>
      </c>
      <c r="M163" s="19">
        <v>0</v>
      </c>
      <c r="N163" s="19">
        <v>0</v>
      </c>
      <c r="O163" s="19">
        <v>1</v>
      </c>
      <c r="P163" s="19">
        <v>1</v>
      </c>
      <c r="Q163" s="19">
        <v>1</v>
      </c>
    </row>
    <row r="164" spans="6:17">
      <c r="F164" s="18">
        <v>151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1</v>
      </c>
      <c r="P164" s="19">
        <v>0</v>
      </c>
      <c r="Q164" s="19">
        <v>1</v>
      </c>
    </row>
    <row r="165" spans="6:17">
      <c r="F165" s="18">
        <v>152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1</v>
      </c>
      <c r="O165" s="19">
        <v>1</v>
      </c>
      <c r="P165" s="19">
        <v>0</v>
      </c>
      <c r="Q165" s="19">
        <v>0</v>
      </c>
    </row>
    <row r="166" spans="6:17">
      <c r="F166" s="18">
        <v>153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1</v>
      </c>
      <c r="Q166" s="19">
        <v>0</v>
      </c>
    </row>
    <row r="167" spans="6:17">
      <c r="F167" s="18">
        <v>154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1</v>
      </c>
    </row>
    <row r="168" spans="6:17">
      <c r="F168" s="18">
        <v>155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1</v>
      </c>
      <c r="O168" s="19">
        <v>1</v>
      </c>
      <c r="P168" s="19">
        <v>0</v>
      </c>
      <c r="Q168" s="19">
        <v>0</v>
      </c>
    </row>
    <row r="169" spans="6:17">
      <c r="F169" s="18">
        <v>156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1</v>
      </c>
      <c r="M169" s="19">
        <v>0</v>
      </c>
      <c r="N169" s="19">
        <v>0</v>
      </c>
      <c r="O169" s="19">
        <v>0</v>
      </c>
      <c r="P169" s="19">
        <v>1</v>
      </c>
      <c r="Q169" s="19">
        <v>1</v>
      </c>
    </row>
    <row r="170" spans="6:17">
      <c r="F170" s="18">
        <v>157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1</v>
      </c>
      <c r="N170" s="19">
        <v>0</v>
      </c>
      <c r="O170" s="19">
        <v>1</v>
      </c>
      <c r="P170" s="19">
        <v>1</v>
      </c>
      <c r="Q170" s="19">
        <v>0</v>
      </c>
    </row>
    <row r="171" spans="6:17">
      <c r="F171" s="18">
        <v>158</v>
      </c>
      <c r="G171" s="19">
        <v>0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0</v>
      </c>
      <c r="P171" s="19">
        <v>1</v>
      </c>
      <c r="Q171" s="19">
        <v>1</v>
      </c>
    </row>
    <row r="172" spans="6:17">
      <c r="F172" s="18">
        <v>159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1</v>
      </c>
      <c r="O172" s="19">
        <v>0</v>
      </c>
      <c r="P172" s="19">
        <v>1</v>
      </c>
      <c r="Q172" s="19">
        <v>0</v>
      </c>
    </row>
    <row r="173" spans="6:17">
      <c r="F173" s="18">
        <v>160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1</v>
      </c>
      <c r="O173" s="19">
        <v>0</v>
      </c>
      <c r="P173" s="19">
        <v>0</v>
      </c>
      <c r="Q173" s="19">
        <v>1</v>
      </c>
    </row>
    <row r="174" spans="6:17">
      <c r="F174" s="18">
        <v>161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1</v>
      </c>
      <c r="P174" s="19">
        <v>1</v>
      </c>
      <c r="Q174" s="19">
        <v>0</v>
      </c>
    </row>
    <row r="175" spans="6:17">
      <c r="F175" s="18">
        <v>162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1</v>
      </c>
    </row>
    <row r="176" spans="6:17">
      <c r="F176" s="18">
        <v>163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1</v>
      </c>
      <c r="N176" s="19">
        <v>1</v>
      </c>
      <c r="O176" s="19">
        <v>0</v>
      </c>
      <c r="P176" s="19">
        <v>0</v>
      </c>
      <c r="Q176" s="19">
        <v>1</v>
      </c>
    </row>
    <row r="177" spans="6:17">
      <c r="F177" s="18">
        <v>164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1</v>
      </c>
    </row>
    <row r="178" spans="6:17">
      <c r="F178" s="18">
        <v>165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</row>
    <row r="179" spans="6:17">
      <c r="F179" s="18">
        <v>166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1</v>
      </c>
      <c r="P179" s="19">
        <v>0</v>
      </c>
      <c r="Q179" s="19">
        <v>1</v>
      </c>
    </row>
    <row r="180" spans="6:17">
      <c r="F180" s="18">
        <v>167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1</v>
      </c>
      <c r="N180" s="19">
        <v>1</v>
      </c>
      <c r="O180" s="19">
        <v>0</v>
      </c>
      <c r="P180" s="19">
        <v>1</v>
      </c>
      <c r="Q180" s="19">
        <v>0</v>
      </c>
    </row>
    <row r="181" spans="6:17">
      <c r="F181" s="18">
        <v>168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</row>
    <row r="182" spans="6:17">
      <c r="F182" s="18">
        <v>169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1</v>
      </c>
      <c r="P182" s="19">
        <v>0</v>
      </c>
      <c r="Q182" s="19">
        <v>0</v>
      </c>
    </row>
    <row r="183" spans="6:17">
      <c r="F183" s="18">
        <v>170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1</v>
      </c>
      <c r="M183" s="19">
        <v>0</v>
      </c>
      <c r="N183" s="19">
        <v>0</v>
      </c>
      <c r="O183" s="19">
        <v>1</v>
      </c>
      <c r="P183" s="19">
        <v>1</v>
      </c>
      <c r="Q183" s="19">
        <v>0</v>
      </c>
    </row>
    <row r="184" spans="6:17">
      <c r="F184" s="18">
        <v>171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1</v>
      </c>
      <c r="Q184" s="19">
        <v>1</v>
      </c>
    </row>
    <row r="185" spans="6:17">
      <c r="F185" s="18">
        <v>172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</row>
    <row r="186" spans="6:17">
      <c r="F186" s="18">
        <v>173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1</v>
      </c>
      <c r="N186" s="19">
        <v>0</v>
      </c>
      <c r="O186" s="19">
        <v>0</v>
      </c>
      <c r="P186" s="19">
        <v>0</v>
      </c>
      <c r="Q186" s="19">
        <v>0</v>
      </c>
    </row>
    <row r="187" spans="6:17">
      <c r="F187" s="18">
        <v>174</v>
      </c>
      <c r="G187" s="19">
        <v>0</v>
      </c>
      <c r="H187" s="19">
        <v>0</v>
      </c>
      <c r="I187" s="19">
        <v>0</v>
      </c>
      <c r="J187" s="19">
        <v>0</v>
      </c>
      <c r="K187" s="19">
        <v>1</v>
      </c>
      <c r="L187" s="19">
        <v>0</v>
      </c>
      <c r="M187" s="19">
        <v>0</v>
      </c>
      <c r="N187" s="19">
        <v>0</v>
      </c>
      <c r="O187" s="19">
        <v>0</v>
      </c>
      <c r="P187" s="19">
        <v>1</v>
      </c>
      <c r="Q187" s="19">
        <v>0</v>
      </c>
    </row>
    <row r="188" spans="6:17">
      <c r="F188" s="18">
        <v>175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1</v>
      </c>
      <c r="P188" s="19">
        <v>1</v>
      </c>
      <c r="Q188" s="19">
        <v>0</v>
      </c>
    </row>
    <row r="189" spans="6:17">
      <c r="F189" s="18">
        <v>176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1</v>
      </c>
      <c r="P189" s="19">
        <v>1</v>
      </c>
      <c r="Q189" s="19">
        <v>1</v>
      </c>
    </row>
    <row r="190" spans="6:17">
      <c r="F190" s="18">
        <v>177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1</v>
      </c>
    </row>
    <row r="191" spans="6:17">
      <c r="F191" s="18">
        <v>178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1</v>
      </c>
      <c r="Q191" s="19">
        <v>1</v>
      </c>
    </row>
    <row r="192" spans="6:17">
      <c r="F192" s="18">
        <v>179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1</v>
      </c>
    </row>
    <row r="193" spans="6:17">
      <c r="F193" s="18">
        <v>180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1</v>
      </c>
      <c r="Q193" s="19">
        <v>0</v>
      </c>
    </row>
    <row r="194" spans="6:17">
      <c r="F194" s="18">
        <v>181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1</v>
      </c>
      <c r="O194" s="19">
        <v>0</v>
      </c>
      <c r="P194" s="19">
        <v>0</v>
      </c>
      <c r="Q194" s="19">
        <v>0</v>
      </c>
    </row>
    <row r="195" spans="6:17">
      <c r="F195" s="18">
        <v>182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1</v>
      </c>
      <c r="O195" s="19">
        <v>0</v>
      </c>
      <c r="P195" s="19">
        <v>1</v>
      </c>
      <c r="Q195" s="19">
        <v>1</v>
      </c>
    </row>
    <row r="196" spans="6:17">
      <c r="F196" s="18">
        <v>183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1</v>
      </c>
      <c r="P196" s="19">
        <v>0</v>
      </c>
      <c r="Q196" s="19">
        <v>1</v>
      </c>
    </row>
    <row r="197" spans="6:17">
      <c r="F197" s="18">
        <v>184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1</v>
      </c>
    </row>
    <row r="198" spans="6:17">
      <c r="F198" s="18">
        <v>185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1</v>
      </c>
    </row>
    <row r="199" spans="6:17">
      <c r="F199" s="18">
        <v>186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1</v>
      </c>
      <c r="O199" s="19">
        <v>0</v>
      </c>
      <c r="P199" s="19">
        <v>1</v>
      </c>
      <c r="Q199" s="19">
        <v>1</v>
      </c>
    </row>
    <row r="200" spans="6:17">
      <c r="F200" s="18">
        <v>187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1</v>
      </c>
      <c r="P200" s="19">
        <v>1</v>
      </c>
      <c r="Q200" s="19">
        <v>1</v>
      </c>
    </row>
    <row r="201" spans="6:17">
      <c r="F201" s="18">
        <v>188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1</v>
      </c>
      <c r="P201" s="19">
        <v>1</v>
      </c>
      <c r="Q201" s="19">
        <v>1</v>
      </c>
    </row>
    <row r="202" spans="6:17">
      <c r="F202" s="18">
        <v>189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1</v>
      </c>
    </row>
    <row r="203" spans="6:17">
      <c r="F203" s="18">
        <v>190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1</v>
      </c>
      <c r="N203" s="19">
        <v>0</v>
      </c>
      <c r="O203" s="19">
        <v>1</v>
      </c>
      <c r="P203" s="19">
        <v>0</v>
      </c>
      <c r="Q203" s="19">
        <v>1</v>
      </c>
    </row>
    <row r="204" spans="6:17">
      <c r="F204" s="18">
        <v>191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</row>
    <row r="205" spans="6:17">
      <c r="F205" s="18">
        <v>192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</row>
    <row r="206" spans="6:17">
      <c r="F206" s="18">
        <v>193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1</v>
      </c>
      <c r="O206" s="19">
        <v>1</v>
      </c>
      <c r="P206" s="19">
        <v>0</v>
      </c>
      <c r="Q206" s="19">
        <v>1</v>
      </c>
    </row>
    <row r="207" spans="6:17">
      <c r="F207" s="18">
        <v>194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</row>
    <row r="208" spans="6:17">
      <c r="F208" s="18">
        <v>195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1</v>
      </c>
      <c r="N208" s="19">
        <v>0</v>
      </c>
      <c r="O208" s="19">
        <v>0</v>
      </c>
      <c r="P208" s="19">
        <v>1</v>
      </c>
      <c r="Q208" s="19">
        <v>1</v>
      </c>
    </row>
    <row r="209" spans="6:17">
      <c r="F209" s="18">
        <v>196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1</v>
      </c>
      <c r="N209" s="19">
        <v>0</v>
      </c>
      <c r="O209" s="19">
        <v>0</v>
      </c>
      <c r="P209" s="19">
        <v>1</v>
      </c>
      <c r="Q209" s="19">
        <v>0</v>
      </c>
    </row>
    <row r="210" spans="6:17">
      <c r="F210" s="18">
        <v>197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1</v>
      </c>
      <c r="Q210" s="19">
        <v>1</v>
      </c>
    </row>
    <row r="211" spans="6:17">
      <c r="F211" s="18">
        <v>198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1</v>
      </c>
      <c r="Q211" s="19">
        <v>0</v>
      </c>
    </row>
    <row r="212" spans="6:17">
      <c r="F212" s="18">
        <v>199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1</v>
      </c>
      <c r="Q212" s="19">
        <v>1</v>
      </c>
    </row>
    <row r="213" spans="6:17">
      <c r="F213" s="20">
        <v>200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1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</row>
  </sheetData>
  <phoneticPr fontId="19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horizontalDpi="360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</vt:lpstr>
      <vt:lpstr>第7题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admin</cp:lastModifiedBy>
  <dcterms:created xsi:type="dcterms:W3CDTF">2014-06-27T06:23:00Z</dcterms:created>
  <dcterms:modified xsi:type="dcterms:W3CDTF">2022-06-18T01:46:21Z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C8FE66B5CF3C4783B0AD94510951E31A</vt:lpwstr>
  </property>
  <property fmtid="{D5CDD505-2E9C-101B-9397-08002B2CF9AE}" pid="3" name="KSOProductBuildVer">
    <vt:lpwstr>2052-11.1.0.10577</vt:lpwstr>
  </property>
</Properties>
</file>