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D:\作业\经营分析方法与工具作业\第5组资料\"/>
    </mc:Choice>
  </mc:AlternateContent>
  <xr:revisionPtr revIDLastSave="0" documentId="8_{173B48A3-2C96-48A5-8B91-7F7712E4AE73}" xr6:coauthVersionLast="47" xr6:coauthVersionMax="47" xr10:uidLastSave="{00000000-0000-0000-0000-000000000000}"/>
  <bookViews>
    <workbookView xWindow="-108" yWindow="-108" windowWidth="23256" windowHeight="12576" xr2:uid="{00000000-000D-0000-FFFF-FFFF00000000}"/>
  </bookViews>
  <sheets>
    <sheet name="第1题" sheetId="7" r:id="rId1"/>
    <sheet name="第2题" sheetId="2" r:id="rId2"/>
    <sheet name="第3题" sheetId="5" r:id="rId3"/>
    <sheet name="第4题 " sheetId="13" r:id="rId4"/>
    <sheet name="第5题 " sheetId="14" r:id="rId5"/>
    <sheet name="第6题" sheetId="6" r:id="rId6"/>
    <sheet name="第7题 " sheetId="10" r:id="rId7"/>
  </sheets>
  <definedNames>
    <definedName name="solver_adj" localSheetId="0" hidden="1">第1题!$J$7:$J$8</definedName>
    <definedName name="solver_adj" localSheetId="2" hidden="1">第3题!$E$27:$H$29</definedName>
    <definedName name="solver_cvg" localSheetId="0" hidden="1">0.0001</definedName>
    <definedName name="solver_cvg" localSheetId="2" hidden="1">0.0001</definedName>
    <definedName name="solver_drv" localSheetId="0" hidden="1">1</definedName>
    <definedName name="solver_drv" localSheetId="2" hidden="1">1</definedName>
    <definedName name="solver_eng" localSheetId="0" hidden="1">1</definedName>
    <definedName name="solver_eng" localSheetId="2" hidden="1">2</definedName>
    <definedName name="solver_est" localSheetId="0" hidden="1">1</definedName>
    <definedName name="solver_est" localSheetId="2" hidden="1">1</definedName>
    <definedName name="solver_itr" localSheetId="0" hidden="1">100</definedName>
    <definedName name="solver_itr" localSheetId="2" hidden="1">100</definedName>
    <definedName name="solver_lhs1" localSheetId="2" hidden="1">第3题!$E$27:$H$29</definedName>
    <definedName name="solver_lhs2" localSheetId="2" hidden="1">第3题!$E$30:$H$30</definedName>
    <definedName name="solver_lhs3" localSheetId="2" hidden="1">第3题!$E$30:$H$30</definedName>
    <definedName name="solver_lhs4" localSheetId="2" hidden="1">第3题!$I$27:$I$29</definedName>
    <definedName name="solver_lhs5" localSheetId="2" hidden="1">第3题!$I$27:$I$29</definedName>
    <definedName name="solver_lin" localSheetId="0" hidden="1">2</definedName>
    <definedName name="solver_lin" localSheetId="2" hidden="1">2</definedName>
    <definedName name="solver_mip" localSheetId="0" hidden="1">2147483647</definedName>
    <definedName name="solver_mip" localSheetId="2" hidden="1">2147483647</definedName>
    <definedName name="solver_mni" localSheetId="0" hidden="1">30</definedName>
    <definedName name="solver_mni" localSheetId="2" hidden="1">30</definedName>
    <definedName name="solver_mrt" localSheetId="0" hidden="1">0.075</definedName>
    <definedName name="solver_mrt" localSheetId="2" hidden="1">0.075</definedName>
    <definedName name="solver_msl" localSheetId="0" hidden="1">2</definedName>
    <definedName name="solver_msl" localSheetId="2" hidden="1">2</definedName>
    <definedName name="solver_neg" localSheetId="0" hidden="1">2</definedName>
    <definedName name="solver_neg" localSheetId="2" hidden="1">1</definedName>
    <definedName name="solver_nod" localSheetId="0" hidden="1">2147483647</definedName>
    <definedName name="solver_nod" localSheetId="2" hidden="1">2147483647</definedName>
    <definedName name="solver_num" localSheetId="0" hidden="1">0</definedName>
    <definedName name="solver_num" localSheetId="2" hidden="1">5</definedName>
    <definedName name="solver_nwt" localSheetId="0" hidden="1">1</definedName>
    <definedName name="solver_nwt" localSheetId="2" hidden="1">1</definedName>
    <definedName name="solver_opt" localSheetId="0" hidden="1">第1题!$J$9</definedName>
    <definedName name="solver_opt" localSheetId="2" hidden="1">第3题!$E$31</definedName>
    <definedName name="solver_pre" localSheetId="0" hidden="1">0.000001</definedName>
    <definedName name="solver_pre" localSheetId="2" hidden="1">0.000001</definedName>
    <definedName name="solver_rbv" localSheetId="0" hidden="1">1</definedName>
    <definedName name="solver_rbv" localSheetId="2" hidden="1">1</definedName>
    <definedName name="solver_rel1" localSheetId="2" hidden="1">4</definedName>
    <definedName name="solver_rel2" localSheetId="2" hidden="1">1</definedName>
    <definedName name="solver_rel3" localSheetId="2" hidden="1">3</definedName>
    <definedName name="solver_rel4" localSheetId="2" hidden="1">1</definedName>
    <definedName name="solver_rel5" localSheetId="2" hidden="1">3</definedName>
    <definedName name="solver_rhs1" localSheetId="2" hidden="1">"整数"</definedName>
    <definedName name="solver_rhs2" localSheetId="2" hidden="1">第3题!$E$24:$H$24</definedName>
    <definedName name="solver_rhs3" localSheetId="2" hidden="1">第3题!$E$23:$H$23</definedName>
    <definedName name="solver_rhs4" localSheetId="2" hidden="1">第3题!$I$20:$I$22</definedName>
    <definedName name="solver_rhs5" localSheetId="2" hidden="1">0</definedName>
    <definedName name="solver_rlx" localSheetId="0" hidden="1">1</definedName>
    <definedName name="solver_rlx" localSheetId="2" hidden="1">1</definedName>
    <definedName name="solver_rsd" localSheetId="0" hidden="1">0</definedName>
    <definedName name="solver_rsd" localSheetId="2" hidden="1">0</definedName>
    <definedName name="solver_scl" localSheetId="0" hidden="1">2</definedName>
    <definedName name="solver_scl" localSheetId="2" hidden="1">2</definedName>
    <definedName name="solver_sho" localSheetId="0" hidden="1">2</definedName>
    <definedName name="solver_sho" localSheetId="2" hidden="1">2</definedName>
    <definedName name="solver_ssz" localSheetId="0" hidden="1">100</definedName>
    <definedName name="solver_ssz" localSheetId="2" hidden="1">100</definedName>
    <definedName name="solver_tim" localSheetId="0" hidden="1">100</definedName>
    <definedName name="solver_tim" localSheetId="2" hidden="1">100</definedName>
    <definedName name="solver_tol" localSheetId="0" hidden="1">0.05</definedName>
    <definedName name="solver_tol" localSheetId="2" hidden="1">0.05</definedName>
    <definedName name="solver_typ" localSheetId="0" hidden="1">2</definedName>
    <definedName name="solver_typ" localSheetId="2" hidden="1">2</definedName>
    <definedName name="solver_val" localSheetId="0" hidden="1">0</definedName>
    <definedName name="solver_val" localSheetId="2" hidden="1">0</definedName>
    <definedName name="solver_ver" localSheetId="0" hidden="1">3</definedName>
    <definedName name="solver_ver" localSheetId="2"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8" i="10" l="1"/>
  <c r="C66" i="10"/>
  <c r="C64" i="10"/>
  <c r="C63" i="10"/>
  <c r="C60" i="10"/>
  <c r="C58" i="10"/>
  <c r="G59" i="10"/>
  <c r="D51" i="6"/>
  <c r="D49" i="6"/>
  <c r="C51" i="6"/>
  <c r="C49" i="6"/>
  <c r="H38" i="6"/>
  <c r="H37" i="6"/>
  <c r="G38" i="6"/>
  <c r="G46" i="6" s="1"/>
  <c r="G39" i="6"/>
  <c r="G40" i="6"/>
  <c r="G41" i="6"/>
  <c r="G42" i="6"/>
  <c r="G43" i="6"/>
  <c r="G44" i="6"/>
  <c r="G45" i="6"/>
  <c r="G37" i="6"/>
  <c r="C42" i="6" s="1"/>
  <c r="G49" i="6" s="1"/>
  <c r="H36" i="6"/>
  <c r="G36" i="6"/>
  <c r="C44" i="6" s="1"/>
  <c r="C28" i="14"/>
  <c r="C29" i="14" s="1"/>
  <c r="C25" i="14"/>
  <c r="G20" i="14" s="1"/>
  <c r="D26" i="14"/>
  <c r="D22" i="14"/>
  <c r="D25" i="14" s="1"/>
  <c r="H20" i="14" s="1"/>
  <c r="C26" i="14"/>
  <c r="C24" i="14"/>
  <c r="H19" i="14"/>
  <c r="G19" i="14"/>
  <c r="B11" i="13"/>
  <c r="E16" i="13" s="1"/>
  <c r="B10" i="13"/>
  <c r="B7" i="13"/>
  <c r="B6" i="13"/>
  <c r="B8" i="13" s="1"/>
  <c r="E2" i="13" s="1"/>
  <c r="I28" i="5"/>
  <c r="I27" i="5"/>
  <c r="E31" i="5"/>
  <c r="H30" i="5"/>
  <c r="G30" i="5"/>
  <c r="F30" i="5"/>
  <c r="E30" i="5"/>
  <c r="I29" i="5"/>
  <c r="A27" i="5"/>
  <c r="A26" i="5"/>
  <c r="A22" i="5" a="1"/>
  <c r="A22" i="5" s="1"/>
  <c r="A21" i="5" a="1"/>
  <c r="A21" i="5" s="1"/>
  <c r="A20" i="5"/>
  <c r="G3" i="14"/>
  <c r="H3" i="14"/>
  <c r="I5" i="14"/>
  <c r="D6" i="14"/>
  <c r="D8" i="14" s="1"/>
  <c r="D11" i="14" s="1"/>
  <c r="F6" i="14"/>
  <c r="I6" i="14"/>
  <c r="I7" i="14"/>
  <c r="C8" i="14"/>
  <c r="C12" i="14" s="1"/>
  <c r="C13" i="14" s="1"/>
  <c r="I8" i="14"/>
  <c r="C9" i="14"/>
  <c r="G4" i="14" s="1"/>
  <c r="C10" i="14"/>
  <c r="D10" i="14"/>
  <c r="D15" i="13" a="1"/>
  <c r="A10" i="5"/>
  <c r="A9" i="5"/>
  <c r="A5" i="5" a="1"/>
  <c r="A5" i="5" s="1"/>
  <c r="A4" i="5" a="1"/>
  <c r="A4" i="5" s="1"/>
  <c r="A3" i="5"/>
  <c r="C50" i="6" l="1"/>
  <c r="H59" i="10"/>
  <c r="I59" i="10" s="1"/>
  <c r="D42" i="6"/>
  <c r="H49" i="6" s="1"/>
  <c r="I49" i="6" s="1"/>
  <c r="H39" i="6"/>
  <c r="H40" i="6" s="1"/>
  <c r="H41" i="6" s="1"/>
  <c r="H42" i="6" s="1"/>
  <c r="H43" i="6" s="1"/>
  <c r="H44" i="6" s="1"/>
  <c r="H45" i="6" s="1"/>
  <c r="H46" i="6" s="1"/>
  <c r="C27" i="14"/>
  <c r="D24" i="14"/>
  <c r="I20" i="14"/>
  <c r="C30" i="14" s="1"/>
  <c r="D27" i="14"/>
  <c r="C11" i="14"/>
  <c r="D9" i="14"/>
  <c r="H4" i="14" s="1"/>
  <c r="I4" i="14" s="1"/>
  <c r="C14" i="14" s="1"/>
  <c r="D16" i="13"/>
  <c r="D17" i="13"/>
  <c r="D15" i="13"/>
  <c r="D44" i="6" l="1"/>
  <c r="C45" i="6"/>
  <c r="C43" i="6"/>
  <c r="C57" i="10"/>
  <c r="C61" i="10" s="1"/>
  <c r="L58" i="10" s="1"/>
  <c r="C2" i="10"/>
  <c r="C3" i="10"/>
  <c r="C5" i="10"/>
  <c r="C8" i="10"/>
  <c r="C9" i="10"/>
  <c r="C11" i="10"/>
  <c r="C13" i="10"/>
  <c r="C6" i="10" l="1"/>
  <c r="L3" i="10" s="1"/>
  <c r="I19" i="6"/>
  <c r="I20" i="6"/>
  <c r="I21" i="6"/>
  <c r="I22" i="6"/>
  <c r="I23" i="6"/>
  <c r="I24" i="6"/>
  <c r="I25" i="6"/>
  <c r="D19" i="6" s="1"/>
  <c r="I26" i="6"/>
  <c r="I27" i="6"/>
  <c r="I28" i="6"/>
  <c r="I29" i="6"/>
  <c r="I30" i="6"/>
  <c r="I31" i="6"/>
  <c r="I32" i="6"/>
  <c r="G7" i="6"/>
  <c r="G8" i="6" s="1"/>
  <c r="G9" i="6" s="1"/>
  <c r="G10" i="6" s="1"/>
  <c r="G11" i="6" s="1"/>
  <c r="G12" i="6" s="1"/>
  <c r="G13" i="6" s="1"/>
  <c r="G14" i="6" s="1"/>
  <c r="G6" i="6"/>
  <c r="G18" i="6" s="1"/>
  <c r="H6" i="6"/>
  <c r="H7" i="6" s="1"/>
  <c r="H8" i="6" s="1"/>
  <c r="H9" i="6" s="1"/>
  <c r="H10" i="6" s="1"/>
  <c r="H11" i="6" s="1"/>
  <c r="H12" i="6" s="1"/>
  <c r="H13" i="6" s="1"/>
  <c r="H14" i="6" s="1"/>
  <c r="G5" i="6"/>
  <c r="C10" i="6" s="1"/>
  <c r="H5" i="6"/>
  <c r="D12" i="6" s="1"/>
  <c r="E14" i="5"/>
  <c r="H13" i="5"/>
  <c r="G13" i="5"/>
  <c r="F13" i="5"/>
  <c r="E13" i="5"/>
  <c r="I12" i="5"/>
  <c r="I11" i="5"/>
  <c r="I10" i="5"/>
  <c r="C2" i="2"/>
  <c r="F4" i="2"/>
  <c r="F3" i="2"/>
  <c r="F7" i="2" s="1"/>
  <c r="F2" i="2"/>
  <c r="C3" i="2"/>
  <c r="C4" i="2"/>
  <c r="C5" i="2"/>
  <c r="C6" i="2"/>
  <c r="C7" i="2"/>
  <c r="C8" i="2"/>
  <c r="C9" i="2"/>
  <c r="C10" i="2"/>
  <c r="C11" i="2"/>
  <c r="C12" i="2"/>
  <c r="C13" i="2"/>
  <c r="C14" i="2"/>
  <c r="J13" i="7"/>
  <c r="J12" i="7"/>
  <c r="G5" i="7" s="1"/>
  <c r="C19" i="6" l="1"/>
  <c r="G6" i="7"/>
  <c r="G20" i="7"/>
  <c r="G4" i="7"/>
  <c r="H18" i="6"/>
  <c r="I18" i="6" s="1"/>
  <c r="G19" i="7"/>
  <c r="G11" i="7"/>
  <c r="G3" i="7"/>
  <c r="C17" i="6"/>
  <c r="G17" i="7"/>
  <c r="G9" i="7"/>
  <c r="A2" i="5"/>
  <c r="A19" i="5"/>
  <c r="D17" i="6"/>
  <c r="G14" i="7"/>
  <c r="G18" i="7"/>
  <c r="G2" i="7"/>
  <c r="G8" i="7"/>
  <c r="A8" i="5" a="1"/>
  <c r="A8" i="5" s="1"/>
  <c r="A25" i="5" a="1"/>
  <c r="A25" i="5" s="1"/>
  <c r="G12" i="7"/>
  <c r="G10" i="7"/>
  <c r="G16" i="7"/>
  <c r="G15" i="7"/>
  <c r="G7" i="7"/>
  <c r="C12" i="6"/>
  <c r="C13" i="6"/>
  <c r="G13" i="7"/>
  <c r="A24" i="5" a="1"/>
  <c r="A24" i="5" s="1"/>
  <c r="A7" i="5" a="1"/>
  <c r="A7" i="5" s="1"/>
  <c r="A23" i="5" a="1"/>
  <c r="A23" i="5" s="1"/>
  <c r="A6" i="5" a="1"/>
  <c r="A6" i="5" s="1"/>
  <c r="G17" i="6"/>
  <c r="D10" i="6"/>
  <c r="H17" i="6" s="1"/>
  <c r="F3" i="7"/>
  <c r="J9" i="7" s="1"/>
  <c r="F4" i="7"/>
  <c r="F5" i="7"/>
  <c r="F6" i="7"/>
  <c r="F7" i="7"/>
  <c r="F8" i="7"/>
  <c r="F9" i="7"/>
  <c r="F10" i="7"/>
  <c r="F11" i="7"/>
  <c r="F12" i="7"/>
  <c r="F13" i="7"/>
  <c r="F14" i="7"/>
  <c r="F15" i="7"/>
  <c r="F16" i="7"/>
  <c r="F17" i="7"/>
  <c r="F18" i="7"/>
  <c r="F19" i="7"/>
  <c r="F20" i="7"/>
  <c r="F2" i="7"/>
  <c r="J4" i="7"/>
  <c r="J3" i="7"/>
  <c r="E2" i="7" s="1"/>
  <c r="C18" i="6" l="1"/>
  <c r="C14" i="6" s="1"/>
  <c r="I17" i="6"/>
  <c r="C11" i="6"/>
  <c r="E3" i="7"/>
  <c r="E15" i="7"/>
  <c r="E14" i="7"/>
  <c r="E13" i="7"/>
  <c r="E20" i="7"/>
  <c r="E12" i="7"/>
  <c r="E19" i="7"/>
  <c r="E11" i="7"/>
  <c r="E18" i="7"/>
  <c r="E10" i="7"/>
  <c r="E17" i="7"/>
  <c r="E9" i="7"/>
  <c r="E16" i="7"/>
  <c r="E8" i="7"/>
  <c r="E7" i="7"/>
  <c r="E6" i="7"/>
  <c r="E5" i="7"/>
  <c r="E4"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查询来自 NW 订单明细情况" type="1" refreshedVersion="4">
    <dbPr connection="DBQ=E:\0 计算机应用 2013年版本-----------------\0 计算机应用 幻灯片 例题-2013\第2章 数据库与查询\数据源\Northwind.mdb;DefaultDir=E:\0 计算机应用 2013年版本-----------------\0 计算机应用 幻灯片 例题-2013\第2章 数据库与查询\数据源;Driver={Microsoft Access Driver (*.mdb, *.accdb)};DriverId=25;FIL=MS Access;MaxBufferSize=2048;MaxScanRows=8;PageTimeout=5;SafeTransactions=0;Threads=3;UserCommitSync=Yes;" command="SELECT 类别.类别名称, 订单.订购日期, 订单明细.数量_x000d__x000a_FROM 产品 产品, 订单 订单, 订单明细 订单明细, 类别 类别_x000d__x000a_WHERE 订单.订单ID = 订单明细.订单ID AND 产品.产品ID = 订单明细.产品ID AND 类别.类别ID = 产品.类别ID"/>
  </connection>
</connections>
</file>

<file path=xl/sharedStrings.xml><?xml version="1.0" encoding="utf-8"?>
<sst xmlns="http://schemas.openxmlformats.org/spreadsheetml/2006/main" count="258" uniqueCount="139">
  <si>
    <r>
      <t>产量</t>
    </r>
    <r>
      <rPr>
        <sz val="11"/>
        <rFont val="Times New Roman"/>
        <family val="1"/>
      </rPr>
      <t>X(</t>
    </r>
    <r>
      <rPr>
        <sz val="11"/>
        <rFont val="宋体"/>
        <family val="3"/>
        <charset val="134"/>
      </rPr>
      <t>吨）</t>
    </r>
    <phoneticPr fontId="3" type="noConversion"/>
  </si>
  <si>
    <r>
      <t>单位产品成本</t>
    </r>
    <r>
      <rPr>
        <sz val="11"/>
        <rFont val="Times New Roman"/>
        <family val="1"/>
      </rPr>
      <t>Y</t>
    </r>
    <r>
      <rPr>
        <sz val="11"/>
        <rFont val="宋体"/>
        <family val="3"/>
        <charset val="134"/>
      </rPr>
      <t>（元</t>
    </r>
    <r>
      <rPr>
        <sz val="11"/>
        <rFont val="Times New Roman"/>
        <family val="1"/>
      </rPr>
      <t>/</t>
    </r>
    <r>
      <rPr>
        <sz val="11"/>
        <rFont val="宋体"/>
        <family val="3"/>
        <charset val="134"/>
      </rPr>
      <t>千克）</t>
    </r>
    <phoneticPr fontId="3" type="noConversion"/>
  </si>
  <si>
    <t>1/X</t>
    <phoneticPr fontId="3" type="noConversion"/>
  </si>
  <si>
    <t>a</t>
    <phoneticPr fontId="3" type="noConversion"/>
  </si>
  <si>
    <t>b</t>
    <phoneticPr fontId="3" type="noConversion"/>
  </si>
  <si>
    <t>R平方</t>
    <phoneticPr fontId="3" type="noConversion"/>
  </si>
  <si>
    <t>产量</t>
    <phoneticPr fontId="3" type="noConversion"/>
  </si>
  <si>
    <t>成本预测值</t>
    <phoneticPr fontId="3" type="noConversion"/>
  </si>
  <si>
    <t>差值</t>
    <phoneticPr fontId="3" type="noConversion"/>
  </si>
  <si>
    <t>销量</t>
    <phoneticPr fontId="3" type="noConversion"/>
  </si>
  <si>
    <t>售价</t>
    <phoneticPr fontId="3" type="noConversion"/>
  </si>
  <si>
    <t>固定成本</t>
    <phoneticPr fontId="3" type="noConversion"/>
  </si>
  <si>
    <t>自制</t>
    <phoneticPr fontId="3" type="noConversion"/>
  </si>
  <si>
    <t>购买</t>
    <phoneticPr fontId="3" type="noConversion"/>
  </si>
  <si>
    <t>单位变动成本</t>
    <phoneticPr fontId="3" type="noConversion"/>
  </si>
  <si>
    <t>专用设备购置成本</t>
    <phoneticPr fontId="3" type="noConversion"/>
  </si>
  <si>
    <t>单位边际贡献</t>
    <phoneticPr fontId="3" type="noConversion"/>
  </si>
  <si>
    <t>总成本</t>
    <phoneticPr fontId="3" type="noConversion"/>
  </si>
  <si>
    <t>销售收益</t>
    <phoneticPr fontId="3" type="noConversion"/>
  </si>
  <si>
    <t>利润</t>
    <phoneticPr fontId="3" type="noConversion"/>
  </si>
  <si>
    <t>结论文字</t>
    <phoneticPr fontId="3" type="noConversion"/>
  </si>
  <si>
    <t>需求地区</t>
  </si>
  <si>
    <t>单价</t>
    <phoneticPr fontId="3" type="noConversion"/>
  </si>
  <si>
    <t>Ⅰ</t>
  </si>
  <si>
    <t>Ⅱ</t>
  </si>
  <si>
    <t>Ⅲ</t>
  </si>
  <si>
    <t>Ⅳ</t>
  </si>
  <si>
    <t>化肥厂</t>
    <phoneticPr fontId="3" type="noConversion"/>
  </si>
  <si>
    <t>A</t>
    <phoneticPr fontId="3" type="noConversion"/>
  </si>
  <si>
    <t>B</t>
    <phoneticPr fontId="3" type="noConversion"/>
  </si>
  <si>
    <t>C</t>
    <phoneticPr fontId="3" type="noConversion"/>
  </si>
  <si>
    <t>最低需求</t>
  </si>
  <si>
    <t>最高需求</t>
  </si>
  <si>
    <t>生产量</t>
    <phoneticPr fontId="3" type="noConversion"/>
  </si>
  <si>
    <t>供应量</t>
    <phoneticPr fontId="3" type="noConversion"/>
  </si>
  <si>
    <r>
      <t>项目</t>
    </r>
    <r>
      <rPr>
        <sz val="11"/>
        <rFont val="Times New Roman"/>
        <family val="1"/>
      </rPr>
      <t>A</t>
    </r>
    <phoneticPr fontId="3" type="noConversion"/>
  </si>
  <si>
    <r>
      <t>项目</t>
    </r>
    <r>
      <rPr>
        <sz val="11"/>
        <rFont val="Times New Roman"/>
        <family val="1"/>
      </rPr>
      <t>B</t>
    </r>
    <phoneticPr fontId="3" type="noConversion"/>
  </si>
  <si>
    <t>三个项目共同贴现率</t>
    <phoneticPr fontId="3" type="noConversion"/>
  </si>
  <si>
    <t>年限</t>
    <phoneticPr fontId="3" type="noConversion"/>
  </si>
  <si>
    <t>初始投入</t>
    <phoneticPr fontId="3" type="noConversion"/>
  </si>
  <si>
    <t>每年收益</t>
    <phoneticPr fontId="3" type="noConversion"/>
  </si>
  <si>
    <r>
      <t>第</t>
    </r>
    <r>
      <rPr>
        <sz val="11"/>
        <rFont val="Times New Roman"/>
        <family val="1"/>
      </rPr>
      <t>1</t>
    </r>
    <r>
      <rPr>
        <sz val="11"/>
        <rFont val="宋体"/>
        <family val="3"/>
        <charset val="134"/>
      </rPr>
      <t>年收益</t>
    </r>
    <phoneticPr fontId="3" type="noConversion"/>
  </si>
  <si>
    <t>以后每年收益增长率</t>
    <phoneticPr fontId="3" type="noConversion"/>
  </si>
  <si>
    <t>收回本金</t>
  </si>
  <si>
    <t>净现值</t>
  </si>
  <si>
    <t>比较结论</t>
  </si>
  <si>
    <t>内部报酬率</t>
    <phoneticPr fontId="3" type="noConversion"/>
  </si>
  <si>
    <r>
      <t>使</t>
    </r>
    <r>
      <rPr>
        <sz val="11"/>
        <rFont val="Times New Roman"/>
        <family val="1"/>
      </rPr>
      <t>AB</t>
    </r>
    <r>
      <rPr>
        <sz val="11"/>
        <rFont val="宋体"/>
        <family val="3"/>
        <charset val="134"/>
      </rPr>
      <t>方案净现值相等的贴现率</t>
    </r>
    <phoneticPr fontId="3" type="noConversion"/>
  </si>
  <si>
    <t>查表加内插值方法的贴现率</t>
    <phoneticPr fontId="3" type="noConversion"/>
  </si>
  <si>
    <t>序号</t>
    <phoneticPr fontId="3" type="noConversion"/>
  </si>
  <si>
    <t>年月</t>
    <phoneticPr fontId="3" type="noConversion"/>
  </si>
  <si>
    <t>销售额</t>
    <phoneticPr fontId="3" type="noConversion"/>
  </si>
  <si>
    <t>函数法预测值</t>
    <phoneticPr fontId="3" type="noConversion"/>
  </si>
  <si>
    <t>规划求解法   预测值</t>
    <phoneticPr fontId="3" type="noConversion"/>
  </si>
  <si>
    <t>回归分析法      预测值</t>
    <phoneticPr fontId="3" type="noConversion"/>
  </si>
  <si>
    <t>函数法预测值</t>
    <phoneticPr fontId="3" type="noConversion"/>
  </si>
  <si>
    <t>截距</t>
    <phoneticPr fontId="3" type="noConversion"/>
  </si>
  <si>
    <t>斜率</t>
    <phoneticPr fontId="3" type="noConversion"/>
  </si>
  <si>
    <t>规划求解法预测值</t>
    <phoneticPr fontId="3" type="noConversion"/>
  </si>
  <si>
    <t>截距</t>
    <phoneticPr fontId="3" type="noConversion"/>
  </si>
  <si>
    <t>MSE</t>
    <phoneticPr fontId="3" type="noConversion"/>
  </si>
  <si>
    <t>回归分析法预测值</t>
    <phoneticPr fontId="3" type="noConversion"/>
  </si>
  <si>
    <t>斜率</t>
    <phoneticPr fontId="3" type="noConversion"/>
  </si>
  <si>
    <t>年需求量</t>
    <phoneticPr fontId="3" type="noConversion"/>
  </si>
  <si>
    <t>一次订货的订货成本</t>
    <phoneticPr fontId="3" type="noConversion"/>
  </si>
  <si>
    <t>单位年储存成本</t>
    <phoneticPr fontId="3" type="noConversion"/>
  </si>
  <si>
    <t>销售单价</t>
    <phoneticPr fontId="3" type="noConversion"/>
  </si>
  <si>
    <t>价格</t>
  </si>
  <si>
    <t>先验</t>
  </si>
  <si>
    <t>数量</t>
    <phoneticPr fontId="3" type="noConversion"/>
  </si>
  <si>
    <t>最大利润</t>
    <phoneticPr fontId="3" type="noConversion"/>
  </si>
  <si>
    <t>最小利润</t>
    <phoneticPr fontId="3" type="noConversion"/>
  </si>
  <si>
    <t>单价(元)</t>
    <phoneticPr fontId="3" type="noConversion"/>
  </si>
  <si>
    <t>概率</t>
    <phoneticPr fontId="3" type="noConversion"/>
  </si>
  <si>
    <t>平均利润</t>
    <phoneticPr fontId="3" type="noConversion"/>
  </si>
  <si>
    <t>发生亏损的概率</t>
    <phoneticPr fontId="3" type="noConversion"/>
  </si>
  <si>
    <t>订货量</t>
    <phoneticPr fontId="3" type="noConversion"/>
  </si>
  <si>
    <t>年订货成本</t>
    <phoneticPr fontId="3" type="noConversion"/>
  </si>
  <si>
    <t>年储存成本</t>
    <phoneticPr fontId="3" type="noConversion"/>
  </si>
  <si>
    <t>年总成本</t>
    <phoneticPr fontId="3" type="noConversion"/>
  </si>
  <si>
    <t>模拟运算表计算不同订货量下的年总成本</t>
    <phoneticPr fontId="3" type="noConversion"/>
  </si>
  <si>
    <t>垂直参考线</t>
    <phoneticPr fontId="3" type="noConversion"/>
  </si>
  <si>
    <t>模拟运算表计算成本及差值</t>
    <phoneticPr fontId="3" type="noConversion"/>
  </si>
  <si>
    <t>查表内插法</t>
    <phoneticPr fontId="3" type="noConversion"/>
  </si>
  <si>
    <t>查表内插法计算盈亏平衡销量</t>
    <phoneticPr fontId="3" type="noConversion"/>
  </si>
  <si>
    <t>项目A</t>
  </si>
  <si>
    <t>项目B</t>
  </si>
  <si>
    <t>计算不同贴现率下的净现值与差值</t>
    <phoneticPr fontId="3" type="noConversion"/>
  </si>
  <si>
    <t>各年净现金流</t>
    <phoneticPr fontId="3" type="noConversion"/>
  </si>
  <si>
    <t>累计概率</t>
    <phoneticPr fontId="3" type="noConversion"/>
  </si>
  <si>
    <t>利用模拟运算表进行50次模拟</t>
    <phoneticPr fontId="3" type="noConversion"/>
  </si>
  <si>
    <t>2014年3月</t>
    <phoneticPr fontId="3" type="noConversion"/>
  </si>
  <si>
    <t>2014年4月</t>
    <phoneticPr fontId="3" type="noConversion"/>
  </si>
  <si>
    <t>2014年5月</t>
  </si>
  <si>
    <t>2014年6月</t>
  </si>
  <si>
    <t>2014年7月</t>
  </si>
  <si>
    <t>2014年8月</t>
  </si>
  <si>
    <t>2014年9月</t>
  </si>
  <si>
    <t>2014年10月</t>
  </si>
  <si>
    <t>2014年11月</t>
  </si>
  <si>
    <t>2014年12月</t>
  </si>
  <si>
    <t>2015年1月</t>
    <phoneticPr fontId="3" type="noConversion"/>
  </si>
  <si>
    <t>2015年2月</t>
  </si>
  <si>
    <t>2015年3月</t>
  </si>
  <si>
    <t>2015年4月</t>
  </si>
  <si>
    <t>2015年5月</t>
  </si>
  <si>
    <t>2015年6月</t>
  </si>
  <si>
    <t>2015年7月</t>
  </si>
  <si>
    <t>2015年8月</t>
  </si>
  <si>
    <t>2015年9月</t>
  </si>
  <si>
    <t>经济订货量(EOQ)</t>
    <phoneticPr fontId="3" type="noConversion"/>
  </si>
  <si>
    <t>EOQ下的年总成本</t>
    <phoneticPr fontId="3" type="noConversion"/>
  </si>
  <si>
    <t>第1个盈亏平衡销量</t>
    <phoneticPr fontId="3" type="noConversion"/>
  </si>
  <si>
    <t>第1个盈亏平衡销量时的利润</t>
    <phoneticPr fontId="3" type="noConversion"/>
  </si>
  <si>
    <t>SUMMARY OUTPUT</t>
  </si>
  <si>
    <t>回归统计</t>
  </si>
  <si>
    <t>Multiple R</t>
  </si>
  <si>
    <t>R Square</t>
  </si>
  <si>
    <t>Adjusted R Square</t>
  </si>
  <si>
    <t>标准误差</t>
  </si>
  <si>
    <t>观测值</t>
  </si>
  <si>
    <t>方差分析</t>
  </si>
  <si>
    <t>回归分析</t>
  </si>
  <si>
    <t>残差</t>
  </si>
  <si>
    <t>总计</t>
  </si>
  <si>
    <t>Intercept</t>
  </si>
  <si>
    <t>df</t>
  </si>
  <si>
    <t>SS</t>
  </si>
  <si>
    <t>MS</t>
  </si>
  <si>
    <t>F</t>
  </si>
  <si>
    <t>Significance F</t>
  </si>
  <si>
    <t>Coefficients</t>
  </si>
  <si>
    <t>t Stat</t>
  </si>
  <si>
    <t>P-value</t>
  </si>
  <si>
    <t>Lower 95%</t>
  </si>
  <si>
    <t>Upper 95%</t>
  </si>
  <si>
    <t>下限 95.0%</t>
  </si>
  <si>
    <t>上限 95.0%</t>
  </si>
  <si>
    <t>X Variable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</si>
</sst>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Red]&quot;¥&quot;\-#,##0.00"/>
    <numFmt numFmtId="176" formatCode="0.0_);[Red]\(0.0\)"/>
    <numFmt numFmtId="177" formatCode="0.0"/>
    <numFmt numFmtId="178" formatCode="0.00_ ;[Red]\-0.00\ "/>
    <numFmt numFmtId="179" formatCode="0.00_ "/>
    <numFmt numFmtId="180" formatCode="0_ "/>
    <numFmt numFmtId="181" formatCode="0.000_ "/>
    <numFmt numFmtId="182" formatCode="0.0_ "/>
    <numFmt numFmtId="183" formatCode="0.000"/>
  </numFmts>
  <fonts count="12" x14ac:knownFonts="1">
    <font>
      <sz val="12"/>
      <name val="宋体"/>
      <family val="3"/>
      <charset val="134"/>
    </font>
    <font>
      <sz val="12"/>
      <name val="宋体"/>
      <family val="3"/>
      <charset val="134"/>
    </font>
    <font>
      <sz val="11"/>
      <name val="宋体"/>
      <family val="3"/>
      <charset val="134"/>
    </font>
    <font>
      <sz val="9"/>
      <name val="宋体"/>
      <family val="3"/>
      <charset val="134"/>
    </font>
    <font>
      <sz val="11"/>
      <name val="Times New Roman"/>
      <family val="1"/>
    </font>
    <font>
      <sz val="10"/>
      <name val="Arial"/>
      <family val="2"/>
    </font>
    <font>
      <sz val="8"/>
      <name val="Arial"/>
      <family val="2"/>
    </font>
    <font>
      <i/>
      <sz val="10"/>
      <name val="宋体"/>
      <family val="3"/>
      <charset val="134"/>
    </font>
    <font>
      <b/>
      <sz val="11"/>
      <name val="宋体"/>
      <family val="3"/>
      <charset val="134"/>
    </font>
    <font>
      <sz val="11"/>
      <name val="宋体"/>
      <family val="3"/>
      <charset val="134"/>
      <scheme val="major"/>
    </font>
    <font>
      <b/>
      <sz val="11"/>
      <name val="宋体"/>
      <family val="3"/>
      <charset val="134"/>
      <scheme val="major"/>
    </font>
    <font>
      <i/>
      <sz val="10"/>
      <name val="宋体"/>
      <family val="3"/>
      <charset val="134"/>
      <scheme val="maj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6" tint="0.39997558519241921"/>
        <bgColor indexed="64"/>
      </patternFill>
    </fill>
  </fills>
  <borders count="19">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8">
    <xf numFmtId="0" fontId="0" fillId="0" borderId="0"/>
    <xf numFmtId="0" fontId="5" fillId="0" borderId="0"/>
    <xf numFmtId="0" fontId="6" fillId="0" borderId="0"/>
    <xf numFmtId="9" fontId="1" fillId="0" borderId="0" applyFont="0" applyFill="0" applyBorder="0" applyAlignment="0" applyProtection="0"/>
    <xf numFmtId="0" fontId="1" fillId="0" borderId="0"/>
    <xf numFmtId="0" fontId="1" fillId="0" borderId="0">
      <alignment vertical="center"/>
    </xf>
    <xf numFmtId="0" fontId="1" fillId="0" borderId="0">
      <alignment vertical="center"/>
    </xf>
    <xf numFmtId="0" fontId="1" fillId="0" borderId="0">
      <alignment vertical="center"/>
    </xf>
  </cellStyleXfs>
  <cellXfs count="168">
    <xf numFmtId="0" fontId="0" fillId="0" borderId="0" xfId="0"/>
    <xf numFmtId="0" fontId="2" fillId="0" borderId="0" xfId="0" applyFont="1" applyFill="1"/>
    <xf numFmtId="0" fontId="2" fillId="0" borderId="3" xfId="0" applyFont="1" applyFill="1" applyBorder="1"/>
    <xf numFmtId="0" fontId="2" fillId="0" borderId="0" xfId="0" applyFont="1" applyFill="1" applyBorder="1"/>
    <xf numFmtId="9" fontId="2" fillId="0" borderId="3" xfId="3" applyFont="1" applyFill="1" applyBorder="1"/>
    <xf numFmtId="9" fontId="2" fillId="0" borderId="3" xfId="0" applyNumberFormat="1" applyFont="1" applyFill="1" applyBorder="1"/>
    <xf numFmtId="9" fontId="2" fillId="0" borderId="0" xfId="3" applyFont="1" applyFill="1" applyBorder="1" applyAlignment="1">
      <alignment horizontal="center"/>
    </xf>
    <xf numFmtId="0" fontId="2" fillId="0" borderId="0" xfId="5" applyFont="1" applyFill="1">
      <alignment vertical="center"/>
    </xf>
    <xf numFmtId="0" fontId="2" fillId="0" borderId="0" xfId="5" applyFont="1">
      <alignment vertical="center"/>
    </xf>
    <xf numFmtId="0" fontId="2" fillId="0" borderId="10" xfId="5" applyFont="1" applyFill="1" applyBorder="1" applyAlignment="1">
      <alignment horizontal="left" vertical="center"/>
    </xf>
    <xf numFmtId="0" fontId="2" fillId="0" borderId="10" xfId="5" applyFont="1" applyFill="1" applyBorder="1">
      <alignment vertical="center"/>
    </xf>
    <xf numFmtId="179" fontId="2" fillId="0" borderId="10" xfId="5" applyNumberFormat="1" applyFont="1" applyFill="1" applyBorder="1">
      <alignment vertical="center"/>
    </xf>
    <xf numFmtId="179" fontId="2" fillId="0" borderId="0" xfId="5" applyNumberFormat="1" applyFont="1" applyFill="1">
      <alignment vertical="center"/>
    </xf>
    <xf numFmtId="0" fontId="2" fillId="0" borderId="0" xfId="7" applyFont="1">
      <alignment vertical="center"/>
    </xf>
    <xf numFmtId="0" fontId="2" fillId="4" borderId="3" xfId="0" applyFont="1" applyFill="1" applyBorder="1"/>
    <xf numFmtId="0" fontId="7" fillId="0" borderId="0" xfId="0" applyFont="1" applyFill="1"/>
    <xf numFmtId="0" fontId="2" fillId="6" borderId="3" xfId="0" applyFont="1" applyFill="1" applyBorder="1"/>
    <xf numFmtId="0" fontId="2" fillId="5" borderId="3" xfId="0" applyFont="1" applyFill="1" applyBorder="1"/>
    <xf numFmtId="0" fontId="2" fillId="3" borderId="3" xfId="4" applyFont="1" applyFill="1" applyBorder="1" applyAlignment="1">
      <alignment horizontal="center" vertical="center" wrapText="1"/>
    </xf>
    <xf numFmtId="0" fontId="2" fillId="3" borderId="1" xfId="5" applyFont="1" applyFill="1" applyBorder="1" applyAlignment="1">
      <alignment horizontal="center" vertical="center" wrapText="1"/>
    </xf>
    <xf numFmtId="49" fontId="2" fillId="5" borderId="1" xfId="4" applyNumberFormat="1" applyFont="1" applyFill="1" applyBorder="1" applyAlignment="1">
      <alignment horizontal="right"/>
    </xf>
    <xf numFmtId="49" fontId="2" fillId="5" borderId="5" xfId="4" applyNumberFormat="1" applyFont="1" applyFill="1" applyBorder="1" applyAlignment="1">
      <alignment horizontal="right"/>
    </xf>
    <xf numFmtId="49" fontId="2" fillId="5" borderId="7" xfId="4" applyNumberFormat="1" applyFont="1" applyFill="1" applyBorder="1" applyAlignment="1">
      <alignment horizontal="right"/>
    </xf>
    <xf numFmtId="0" fontId="2" fillId="3" borderId="16" xfId="5" applyFont="1" applyFill="1" applyBorder="1" applyAlignment="1">
      <alignment horizontal="center" vertical="center" wrapText="1"/>
    </xf>
    <xf numFmtId="179" fontId="2" fillId="3" borderId="7" xfId="5" applyNumberFormat="1" applyFont="1" applyFill="1" applyBorder="1">
      <alignment vertical="center"/>
    </xf>
    <xf numFmtId="179" fontId="2" fillId="3" borderId="3" xfId="5" applyNumberFormat="1" applyFont="1" applyFill="1" applyBorder="1">
      <alignment vertical="center"/>
    </xf>
    <xf numFmtId="179" fontId="2" fillId="6" borderId="7" xfId="5" applyNumberFormat="1" applyFont="1" applyFill="1" applyBorder="1">
      <alignment vertical="center"/>
    </xf>
    <xf numFmtId="179" fontId="2" fillId="6" borderId="3" xfId="5" applyNumberFormat="1" applyFont="1" applyFill="1" applyBorder="1">
      <alignment vertical="center"/>
    </xf>
    <xf numFmtId="182" fontId="2" fillId="4" borderId="1" xfId="5" applyNumberFormat="1" applyFont="1" applyFill="1" applyBorder="1">
      <alignment vertical="center"/>
    </xf>
    <xf numFmtId="0" fontId="2" fillId="3" borderId="1" xfId="0" applyFont="1" applyFill="1" applyBorder="1" applyAlignment="1">
      <alignment horizontal="center" wrapText="1"/>
    </xf>
    <xf numFmtId="0" fontId="4" fillId="3" borderId="1" xfId="0" applyFont="1" applyFill="1" applyBorder="1" applyAlignment="1">
      <alignment horizontal="center" wrapText="1"/>
    </xf>
    <xf numFmtId="0" fontId="2" fillId="5" borderId="2" xfId="0" applyFont="1" applyFill="1" applyBorder="1" applyAlignment="1">
      <alignment horizontal="center"/>
    </xf>
    <xf numFmtId="176" fontId="2" fillId="5" borderId="1" xfId="0" applyNumberFormat="1" applyFont="1" applyFill="1" applyBorder="1" applyAlignment="1">
      <alignment horizontal="center"/>
    </xf>
    <xf numFmtId="0" fontId="2" fillId="5" borderId="4" xfId="0" applyFont="1" applyFill="1" applyBorder="1" applyAlignment="1">
      <alignment horizontal="center"/>
    </xf>
    <xf numFmtId="176" fontId="2" fillId="5" borderId="5" xfId="0" applyNumberFormat="1" applyFont="1" applyFill="1" applyBorder="1" applyAlignment="1">
      <alignment horizontal="center"/>
    </xf>
    <xf numFmtId="0" fontId="2" fillId="5" borderId="6" xfId="0" applyFont="1" applyFill="1" applyBorder="1" applyAlignment="1">
      <alignment horizontal="center"/>
    </xf>
    <xf numFmtId="176" fontId="2" fillId="5" borderId="7" xfId="0" applyNumberFormat="1" applyFont="1" applyFill="1" applyBorder="1" applyAlignment="1">
      <alignment horizontal="center"/>
    </xf>
    <xf numFmtId="0" fontId="2" fillId="4" borderId="1" xfId="0" applyFont="1" applyFill="1" applyBorder="1"/>
    <xf numFmtId="0" fontId="2" fillId="4" borderId="5" xfId="0" applyFont="1" applyFill="1" applyBorder="1"/>
    <xf numFmtId="183" fontId="2" fillId="4" borderId="1" xfId="0" applyNumberFormat="1" applyFont="1" applyFill="1" applyBorder="1"/>
    <xf numFmtId="0" fontId="2" fillId="3" borderId="3" xfId="0" applyFont="1" applyFill="1" applyBorder="1"/>
    <xf numFmtId="9" fontId="2" fillId="5" borderId="3" xfId="3" applyFont="1" applyFill="1" applyBorder="1"/>
    <xf numFmtId="8" fontId="2" fillId="7" borderId="3" xfId="0" applyNumberFormat="1" applyFont="1" applyFill="1" applyBorder="1"/>
    <xf numFmtId="178" fontId="2" fillId="7" borderId="3" xfId="0" applyNumberFormat="1" applyFont="1" applyFill="1" applyBorder="1"/>
    <xf numFmtId="10" fontId="2" fillId="6" borderId="3" xfId="0" applyNumberFormat="1" applyFont="1" applyFill="1" applyBorder="1"/>
    <xf numFmtId="0" fontId="2" fillId="4" borderId="2" xfId="0" applyFont="1" applyFill="1" applyBorder="1"/>
    <xf numFmtId="0" fontId="2" fillId="4" borderId="4" xfId="0" applyFont="1" applyFill="1" applyBorder="1"/>
    <xf numFmtId="0" fontId="2" fillId="4" borderId="6" xfId="0" applyFont="1" applyFill="1" applyBorder="1"/>
    <xf numFmtId="0" fontId="2" fillId="4" borderId="14" xfId="0" applyFont="1" applyFill="1" applyBorder="1"/>
    <xf numFmtId="0" fontId="2" fillId="4" borderId="11" xfId="0" applyFont="1" applyFill="1" applyBorder="1"/>
    <xf numFmtId="9" fontId="2" fillId="3" borderId="2" xfId="3" applyFont="1" applyFill="1" applyBorder="1" applyAlignment="1">
      <alignment horizontal="center"/>
    </xf>
    <xf numFmtId="9" fontId="2" fillId="3" borderId="4" xfId="3" applyFont="1" applyFill="1" applyBorder="1" applyAlignment="1">
      <alignment horizontal="center"/>
    </xf>
    <xf numFmtId="9" fontId="2" fillId="3" borderId="6" xfId="3" applyFont="1" applyFill="1" applyBorder="1" applyAlignment="1">
      <alignment horizontal="center"/>
    </xf>
    <xf numFmtId="10" fontId="2" fillId="4" borderId="3" xfId="3" applyNumberFormat="1" applyFont="1" applyFill="1" applyBorder="1"/>
    <xf numFmtId="179" fontId="2" fillId="4" borderId="1" xfId="0" applyNumberFormat="1" applyFont="1" applyFill="1" applyBorder="1"/>
    <xf numFmtId="179" fontId="2" fillId="4" borderId="5" xfId="0" applyNumberFormat="1" applyFont="1" applyFill="1" applyBorder="1"/>
    <xf numFmtId="179" fontId="2" fillId="4" borderId="7" xfId="0" applyNumberFormat="1" applyFont="1" applyFill="1" applyBorder="1"/>
    <xf numFmtId="8" fontId="2" fillId="4" borderId="3" xfId="0" applyNumberFormat="1" applyFont="1" applyFill="1" applyBorder="1"/>
    <xf numFmtId="0" fontId="4" fillId="3" borderId="3" xfId="0" applyFont="1" applyFill="1" applyBorder="1" applyAlignment="1">
      <alignment horizontal="center"/>
    </xf>
    <xf numFmtId="0" fontId="2" fillId="3" borderId="3" xfId="7" applyFont="1" applyFill="1" applyBorder="1">
      <alignment vertical="center"/>
    </xf>
    <xf numFmtId="0" fontId="2" fillId="3" borderId="3" xfId="7" applyFont="1" applyFill="1" applyBorder="1" applyAlignment="1">
      <alignment horizontal="center"/>
    </xf>
    <xf numFmtId="0" fontId="2" fillId="4" borderId="3" xfId="7" applyFont="1" applyFill="1" applyBorder="1" applyAlignment="1">
      <alignment horizontal="center"/>
    </xf>
    <xf numFmtId="9" fontId="2" fillId="4" borderId="3" xfId="3" applyFont="1" applyFill="1" applyBorder="1" applyAlignment="1">
      <alignment horizontal="right"/>
    </xf>
    <xf numFmtId="2" fontId="2" fillId="4" borderId="3" xfId="7" applyNumberFormat="1" applyFont="1" applyFill="1" applyBorder="1" applyAlignment="1">
      <alignment horizontal="right"/>
    </xf>
    <xf numFmtId="0" fontId="2" fillId="4" borderId="3" xfId="7" applyFont="1" applyFill="1" applyBorder="1" applyAlignment="1">
      <alignment horizontal="center" vertical="center"/>
    </xf>
    <xf numFmtId="0" fontId="2" fillId="4" borderId="3" xfId="7" applyFont="1" applyFill="1" applyBorder="1">
      <alignment vertical="center"/>
    </xf>
    <xf numFmtId="181" fontId="2" fillId="4" borderId="5" xfId="7" applyNumberFormat="1" applyFont="1" applyFill="1" applyBorder="1">
      <alignment vertical="center"/>
    </xf>
    <xf numFmtId="181" fontId="2" fillId="4" borderId="7" xfId="7" applyNumberFormat="1" applyFont="1" applyFill="1" applyBorder="1">
      <alignment vertical="center"/>
    </xf>
    <xf numFmtId="0" fontId="2" fillId="3" borderId="1" xfId="7" applyFont="1" applyFill="1" applyBorder="1">
      <alignment vertical="center"/>
    </xf>
    <xf numFmtId="0" fontId="2" fillId="3" borderId="5" xfId="7" applyFont="1" applyFill="1" applyBorder="1">
      <alignment vertical="center"/>
    </xf>
    <xf numFmtId="0" fontId="2" fillId="3" borderId="7" xfId="7" applyFont="1" applyFill="1" applyBorder="1">
      <alignment vertical="center"/>
    </xf>
    <xf numFmtId="182" fontId="2" fillId="6" borderId="3" xfId="7" applyNumberFormat="1" applyFont="1" applyFill="1" applyBorder="1" applyAlignment="1">
      <alignment horizontal="right" vertical="center"/>
    </xf>
    <xf numFmtId="0" fontId="2" fillId="6" borderId="3" xfId="7" applyFont="1" applyFill="1" applyBorder="1" applyAlignment="1">
      <alignment horizontal="right" vertical="center"/>
    </xf>
    <xf numFmtId="0" fontId="2" fillId="4" borderId="3" xfId="7" applyFont="1" applyFill="1" applyBorder="1" applyAlignment="1">
      <alignment horizontal="right" vertical="center"/>
    </xf>
    <xf numFmtId="179" fontId="2" fillId="4" borderId="3" xfId="7" applyNumberFormat="1" applyFont="1" applyFill="1" applyBorder="1" applyAlignment="1">
      <alignment horizontal="right" vertical="center"/>
    </xf>
    <xf numFmtId="0" fontId="2" fillId="3" borderId="3" xfId="7" applyFont="1" applyFill="1" applyBorder="1" applyAlignment="1">
      <alignment horizontal="center" wrapText="1"/>
    </xf>
    <xf numFmtId="181" fontId="2" fillId="4" borderId="3" xfId="7" applyNumberFormat="1" applyFont="1" applyFill="1" applyBorder="1">
      <alignment vertical="center"/>
    </xf>
    <xf numFmtId="0" fontId="2" fillId="5" borderId="3" xfId="7" applyFont="1" applyFill="1" applyBorder="1">
      <alignment vertical="center"/>
    </xf>
    <xf numFmtId="0" fontId="2" fillId="2" borderId="3" xfId="7" applyFont="1" applyFill="1" applyBorder="1" applyAlignment="1">
      <alignment horizontal="right" vertical="center"/>
    </xf>
    <xf numFmtId="0" fontId="2" fillId="3" borderId="2" xfId="5" applyFont="1" applyFill="1" applyBorder="1" applyAlignment="1">
      <alignment horizontal="center" vertical="center"/>
    </xf>
    <xf numFmtId="0" fontId="2" fillId="3" borderId="4" xfId="5" applyFont="1" applyFill="1" applyBorder="1" applyAlignment="1">
      <alignment horizontal="center" vertical="center"/>
    </xf>
    <xf numFmtId="0" fontId="2" fillId="3" borderId="6" xfId="5" applyFont="1" applyFill="1" applyBorder="1" applyAlignment="1">
      <alignment horizontal="center" vertical="center"/>
    </xf>
    <xf numFmtId="0" fontId="8" fillId="0" borderId="2" xfId="5" applyFont="1" applyFill="1" applyBorder="1" applyAlignment="1">
      <alignment horizontal="center" vertical="center"/>
    </xf>
    <xf numFmtId="0" fontId="8" fillId="0" borderId="4" xfId="5" applyFont="1" applyFill="1" applyBorder="1" applyAlignment="1">
      <alignment horizontal="center" vertical="center"/>
    </xf>
    <xf numFmtId="0" fontId="8" fillId="0" borderId="6" xfId="5" applyFont="1" applyFill="1" applyBorder="1" applyAlignment="1">
      <alignment horizontal="center" vertical="center"/>
    </xf>
    <xf numFmtId="0" fontId="2" fillId="5" borderId="14" xfId="5" applyFont="1" applyFill="1" applyBorder="1">
      <alignment vertical="center"/>
    </xf>
    <xf numFmtId="0" fontId="2" fillId="5" borderId="11" xfId="5" applyFont="1" applyFill="1" applyBorder="1">
      <alignment vertical="center"/>
    </xf>
    <xf numFmtId="1" fontId="2" fillId="5" borderId="11" xfId="4" applyNumberFormat="1" applyFont="1" applyFill="1" applyBorder="1"/>
    <xf numFmtId="1" fontId="2" fillId="5" borderId="12" xfId="4" applyNumberFormat="1" applyFont="1" applyFill="1" applyBorder="1"/>
    <xf numFmtId="0" fontId="2" fillId="3" borderId="1" xfId="4" applyFont="1" applyFill="1" applyBorder="1" applyAlignment="1">
      <alignment horizontal="center" vertical="center" wrapText="1"/>
    </xf>
    <xf numFmtId="49" fontId="8" fillId="5" borderId="1" xfId="4" applyNumberFormat="1" applyFont="1" applyFill="1" applyBorder="1" applyAlignment="1">
      <alignment horizontal="right"/>
    </xf>
    <xf numFmtId="49" fontId="8" fillId="5" borderId="5" xfId="4" applyNumberFormat="1" applyFont="1" applyFill="1" applyBorder="1" applyAlignment="1">
      <alignment horizontal="right"/>
    </xf>
    <xf numFmtId="49" fontId="8" fillId="5" borderId="7" xfId="4" applyNumberFormat="1" applyFont="1" applyFill="1" applyBorder="1" applyAlignment="1">
      <alignment horizontal="right"/>
    </xf>
    <xf numFmtId="0" fontId="9" fillId="0" borderId="0" xfId="0" applyFont="1"/>
    <xf numFmtId="0" fontId="9" fillId="0" borderId="0" xfId="0" applyFont="1" applyFill="1"/>
    <xf numFmtId="0" fontId="9" fillId="3" borderId="3" xfId="2" applyFont="1" applyFill="1" applyBorder="1" applyAlignment="1">
      <alignment horizontal="center"/>
    </xf>
    <xf numFmtId="0" fontId="9" fillId="3" borderId="7" xfId="2" applyFont="1" applyFill="1" applyBorder="1" applyAlignment="1">
      <alignment horizontal="center"/>
    </xf>
    <xf numFmtId="0" fontId="9" fillId="5" borderId="3" xfId="2" applyFont="1" applyFill="1" applyBorder="1"/>
    <xf numFmtId="0" fontId="9" fillId="3" borderId="3" xfId="2" applyFont="1" applyFill="1" applyBorder="1"/>
    <xf numFmtId="0" fontId="9" fillId="5" borderId="3" xfId="2" applyFont="1" applyFill="1" applyBorder="1" applyAlignment="1">
      <alignment horizontal="right"/>
    </xf>
    <xf numFmtId="0" fontId="9" fillId="0" borderId="10" xfId="0" applyFont="1" applyFill="1" applyBorder="1"/>
    <xf numFmtId="0" fontId="9" fillId="3" borderId="11" xfId="2" applyFont="1" applyFill="1" applyBorder="1" applyAlignment="1">
      <alignment horizontal="center"/>
    </xf>
    <xf numFmtId="0" fontId="9" fillId="0" borderId="3" xfId="2" applyFont="1" applyFill="1" applyBorder="1"/>
    <xf numFmtId="0" fontId="9" fillId="4" borderId="3" xfId="0" applyFont="1" applyFill="1" applyBorder="1"/>
    <xf numFmtId="0" fontId="10" fillId="6" borderId="3" xfId="0" applyFont="1" applyFill="1" applyBorder="1"/>
    <xf numFmtId="0" fontId="9" fillId="3" borderId="3" xfId="6" applyFont="1" applyFill="1" applyBorder="1">
      <alignment vertical="center"/>
    </xf>
    <xf numFmtId="0" fontId="9" fillId="5" borderId="3" xfId="6" applyFont="1" applyFill="1" applyBorder="1">
      <alignment vertical="center"/>
    </xf>
    <xf numFmtId="0" fontId="9" fillId="0" borderId="0" xfId="6" applyFont="1">
      <alignment vertical="center"/>
    </xf>
    <xf numFmtId="177" fontId="9" fillId="4" borderId="3" xfId="6" applyNumberFormat="1" applyFont="1" applyFill="1" applyBorder="1">
      <alignment vertical="center"/>
    </xf>
    <xf numFmtId="0" fontId="9" fillId="3" borderId="2" xfId="6" applyFont="1" applyFill="1" applyBorder="1" applyAlignment="1">
      <alignment horizontal="center" vertical="center"/>
    </xf>
    <xf numFmtId="0" fontId="9" fillId="4" borderId="1" xfId="6" applyFont="1" applyFill="1" applyBorder="1" applyAlignment="1">
      <alignment horizontal="center" vertical="center"/>
    </xf>
    <xf numFmtId="0" fontId="9" fillId="3" borderId="4" xfId="6" applyFont="1" applyFill="1" applyBorder="1" applyAlignment="1">
      <alignment horizontal="center" vertical="center"/>
    </xf>
    <xf numFmtId="0" fontId="9" fillId="4" borderId="5" xfId="6" applyFont="1" applyFill="1" applyBorder="1" applyAlignment="1">
      <alignment horizontal="center" vertical="center"/>
    </xf>
    <xf numFmtId="180" fontId="9" fillId="4" borderId="5" xfId="6" applyNumberFormat="1" applyFont="1" applyFill="1" applyBorder="1" applyAlignment="1">
      <alignment horizontal="center" vertical="center"/>
    </xf>
    <xf numFmtId="177" fontId="9" fillId="6" borderId="3" xfId="6" applyNumberFormat="1" applyFont="1" applyFill="1" applyBorder="1">
      <alignment vertical="center"/>
    </xf>
    <xf numFmtId="0" fontId="9" fillId="4" borderId="7" xfId="6" applyFont="1" applyFill="1" applyBorder="1" applyAlignment="1">
      <alignment horizontal="center" vertical="center"/>
    </xf>
    <xf numFmtId="177" fontId="9" fillId="4" borderId="2" xfId="6" applyNumberFormat="1" applyFont="1" applyFill="1" applyBorder="1">
      <alignment vertical="center"/>
    </xf>
    <xf numFmtId="0" fontId="9" fillId="4" borderId="1" xfId="6" applyFont="1" applyFill="1" applyBorder="1">
      <alignment vertical="center"/>
    </xf>
    <xf numFmtId="177" fontId="9" fillId="4" borderId="4" xfId="6" applyNumberFormat="1" applyFont="1" applyFill="1" applyBorder="1">
      <alignment vertical="center"/>
    </xf>
    <xf numFmtId="177" fontId="9" fillId="4" borderId="5" xfId="6" applyNumberFormat="1" applyFont="1" applyFill="1" applyBorder="1">
      <alignment vertical="center"/>
    </xf>
    <xf numFmtId="177" fontId="9" fillId="4" borderId="6" xfId="6" applyNumberFormat="1" applyFont="1" applyFill="1" applyBorder="1">
      <alignment vertical="center"/>
    </xf>
    <xf numFmtId="0" fontId="9" fillId="4" borderId="7" xfId="6" applyFont="1" applyFill="1" applyBorder="1">
      <alignment vertical="center"/>
    </xf>
    <xf numFmtId="0" fontId="9" fillId="3" borderId="8" xfId="1" applyFont="1" applyFill="1" applyBorder="1"/>
    <xf numFmtId="0" fontId="9" fillId="3" borderId="9" xfId="1" applyFont="1" applyFill="1" applyBorder="1"/>
    <xf numFmtId="0" fontId="9" fillId="2" borderId="3" xfId="1" applyFont="1" applyFill="1" applyBorder="1"/>
    <xf numFmtId="0" fontId="9" fillId="5" borderId="3" xfId="1" applyFont="1" applyFill="1" applyBorder="1"/>
    <xf numFmtId="0" fontId="9" fillId="4" borderId="3" xfId="1" applyFont="1" applyFill="1" applyBorder="1"/>
    <xf numFmtId="0" fontId="9" fillId="3" borderId="2" xfId="1" applyFont="1" applyFill="1" applyBorder="1"/>
    <xf numFmtId="0" fontId="9" fillId="4" borderId="5" xfId="1" applyFont="1" applyFill="1" applyBorder="1"/>
    <xf numFmtId="0" fontId="9" fillId="4" borderId="11" xfId="1" applyFont="1" applyFill="1" applyBorder="1"/>
    <xf numFmtId="0" fontId="9" fillId="3" borderId="3" xfId="1" applyFont="1" applyFill="1" applyBorder="1"/>
    <xf numFmtId="183" fontId="9" fillId="3" borderId="4" xfId="1" applyNumberFormat="1" applyFont="1" applyFill="1" applyBorder="1"/>
    <xf numFmtId="1" fontId="9" fillId="3" borderId="4" xfId="1" applyNumberFormat="1" applyFont="1" applyFill="1" applyBorder="1"/>
    <xf numFmtId="1" fontId="9" fillId="3" borderId="6" xfId="1" applyNumberFormat="1" applyFont="1" applyFill="1" applyBorder="1"/>
    <xf numFmtId="0" fontId="9" fillId="4" borderId="7" xfId="1" applyFont="1" applyFill="1" applyBorder="1"/>
    <xf numFmtId="0" fontId="9" fillId="3" borderId="13" xfId="1" applyFont="1" applyFill="1" applyBorder="1"/>
    <xf numFmtId="0" fontId="9" fillId="4" borderId="13" xfId="1" applyFont="1" applyFill="1" applyBorder="1"/>
    <xf numFmtId="0" fontId="9" fillId="6" borderId="3" xfId="1" applyFont="1" applyFill="1" applyBorder="1"/>
    <xf numFmtId="177" fontId="9" fillId="4" borderId="3" xfId="1" applyNumberFormat="1" applyFont="1" applyFill="1" applyBorder="1"/>
    <xf numFmtId="0" fontId="9" fillId="3" borderId="3" xfId="1" applyFont="1" applyFill="1" applyBorder="1" applyAlignment="1">
      <alignment wrapText="1"/>
    </xf>
    <xf numFmtId="0" fontId="0" fillId="0" borderId="0" xfId="0" applyFill="1" applyBorder="1" applyAlignment="1"/>
    <xf numFmtId="0" fontId="0" fillId="0" borderId="17" xfId="0" applyFill="1" applyBorder="1" applyAlignment="1"/>
    <xf numFmtId="0" fontId="0" fillId="0" borderId="18" xfId="0" applyFont="1" applyFill="1" applyBorder="1" applyAlignment="1">
      <alignment horizontal="center"/>
    </xf>
    <xf numFmtId="0" fontId="0" fillId="0" borderId="18" xfId="0" applyFont="1" applyFill="1" applyBorder="1" applyAlignment="1">
      <alignment horizontal="centerContinuous"/>
    </xf>
    <xf numFmtId="8" fontId="2" fillId="0" borderId="0" xfId="0" applyNumberFormat="1" applyFont="1" applyFill="1"/>
    <xf numFmtId="8" fontId="2" fillId="4" borderId="3" xfId="0" applyNumberFormat="1" applyFont="1" applyFill="1" applyBorder="1" applyAlignment="1">
      <alignment horizontal="center"/>
    </xf>
    <xf numFmtId="0" fontId="2" fillId="0" borderId="0" xfId="7" applyFont="1" applyAlignment="1">
      <alignment horizontal="right" vertical="center"/>
    </xf>
    <xf numFmtId="182" fontId="2" fillId="0" borderId="0" xfId="7" applyNumberFormat="1" applyFont="1" applyAlignment="1">
      <alignment horizontal="right" vertical="center"/>
    </xf>
    <xf numFmtId="0" fontId="11" fillId="0" borderId="0" xfId="6" applyFont="1">
      <alignment vertical="center"/>
    </xf>
    <xf numFmtId="177" fontId="9" fillId="0" borderId="3" xfId="6" applyNumberFormat="1" applyFont="1" applyBorder="1">
      <alignment vertical="center"/>
    </xf>
    <xf numFmtId="0" fontId="9" fillId="0" borderId="0" xfId="1" applyFont="1"/>
    <xf numFmtId="0" fontId="9" fillId="6" borderId="3" xfId="1" applyFont="1" applyFill="1" applyBorder="1" applyAlignment="1">
      <alignment horizontal="center" wrapText="1"/>
    </xf>
    <xf numFmtId="0" fontId="11" fillId="0" borderId="0" xfId="1" applyFont="1"/>
    <xf numFmtId="1" fontId="9" fillId="0" borderId="0" xfId="1" applyNumberFormat="1" applyFont="1"/>
    <xf numFmtId="0" fontId="9" fillId="0" borderId="3" xfId="1" applyFont="1" applyBorder="1"/>
    <xf numFmtId="0" fontId="9" fillId="0" borderId="0" xfId="1" applyFont="1" applyAlignment="1">
      <alignment horizontal="center"/>
    </xf>
    <xf numFmtId="9" fontId="2" fillId="4" borderId="3" xfId="0" applyNumberFormat="1" applyFont="1" applyFill="1" applyBorder="1"/>
    <xf numFmtId="0" fontId="9" fillId="0" borderId="15" xfId="0" applyFont="1" applyFill="1" applyBorder="1" applyAlignment="1">
      <alignment horizontal="center"/>
    </xf>
    <xf numFmtId="0" fontId="9" fillId="0" borderId="10" xfId="0" applyFont="1" applyFill="1" applyBorder="1" applyAlignment="1">
      <alignment horizontal="center"/>
    </xf>
    <xf numFmtId="0" fontId="9" fillId="3" borderId="3" xfId="2" applyFont="1" applyFill="1" applyBorder="1" applyAlignment="1">
      <alignment vertical="top" textRotation="255"/>
    </xf>
    <xf numFmtId="0" fontId="9" fillId="3" borderId="3" xfId="0" applyFont="1" applyFill="1" applyBorder="1" applyAlignment="1">
      <alignment vertical="top" textRotation="255"/>
    </xf>
    <xf numFmtId="0" fontId="11" fillId="0" borderId="0" xfId="6" applyFont="1" applyAlignment="1">
      <alignment horizontal="center" vertical="center" wrapText="1"/>
    </xf>
    <xf numFmtId="0" fontId="2" fillId="6" borderId="8" xfId="0" applyFont="1" applyFill="1" applyBorder="1" applyAlignment="1">
      <alignment horizontal="center"/>
    </xf>
    <xf numFmtId="0" fontId="0" fillId="6" borderId="9" xfId="0" applyFill="1" applyBorder="1" applyAlignment="1">
      <alignment horizontal="center"/>
    </xf>
    <xf numFmtId="10" fontId="2" fillId="6" borderId="8" xfId="0" applyNumberFormat="1" applyFont="1" applyFill="1" applyBorder="1" applyAlignment="1">
      <alignment horizontal="center"/>
    </xf>
    <xf numFmtId="10" fontId="2" fillId="6" borderId="9" xfId="0" applyNumberFormat="1" applyFont="1" applyFill="1" applyBorder="1" applyAlignment="1">
      <alignment horizontal="center"/>
    </xf>
    <xf numFmtId="0" fontId="2" fillId="0" borderId="3" xfId="0" applyFont="1" applyFill="1" applyBorder="1" applyAlignment="1">
      <alignment horizontal="center"/>
    </xf>
    <xf numFmtId="0" fontId="7" fillId="0" borderId="0" xfId="7" applyFont="1" applyAlignment="1">
      <alignment horizontal="center" vertical="center" wrapText="1"/>
    </xf>
  </cellXfs>
  <cellStyles count="8">
    <cellStyle name="Normal_Calculation (3)" xfId="2" xr:uid="{00000000-0005-0000-0000-000000000000}"/>
    <cellStyle name="百分比 2" xfId="3" xr:uid="{00000000-0005-0000-0000-000001000000}"/>
    <cellStyle name="常规" xfId="0" builtinId="0"/>
    <cellStyle name="常规_98Exam4答案" xfId="1" xr:uid="{00000000-0005-0000-0000-000003000000}"/>
    <cellStyle name="常规_Sheet1" xfId="4" xr:uid="{00000000-0005-0000-0000-000004000000}"/>
    <cellStyle name="常规_第4章刘兰娟 第四章考题" xfId="5" xr:uid="{00000000-0005-0000-0000-000005000000}"/>
    <cellStyle name="常规_第6章-经济订货量-答案1" xfId="6" xr:uid="{00000000-0005-0000-0000-000006000000}"/>
    <cellStyle name="常规_第9章A卷题目答案陈" xfId="7" xr:uid="{00000000-0005-0000-0000-00000700000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2.8125765529308837E-2"/>
                  <c:y val="-9.814814814814815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trendlineLbl>
          </c:trendline>
          <c:cat>
            <c:strRef>
              <c:f>第1题!$C$2:$C$17</c:f>
              <c:strCache>
                <c:ptCount val="16"/>
                <c:pt idx="0">
                  <c:v>2014年3月</c:v>
                </c:pt>
                <c:pt idx="1">
                  <c:v>2014年4月</c:v>
                </c:pt>
                <c:pt idx="2">
                  <c:v>2014年5月</c:v>
                </c:pt>
                <c:pt idx="3">
                  <c:v>2014年6月</c:v>
                </c:pt>
                <c:pt idx="4">
                  <c:v>2014年7月</c:v>
                </c:pt>
                <c:pt idx="5">
                  <c:v>2014年8月</c:v>
                </c:pt>
                <c:pt idx="6">
                  <c:v>2014年9月</c:v>
                </c:pt>
                <c:pt idx="7">
                  <c:v>2014年10月</c:v>
                </c:pt>
                <c:pt idx="8">
                  <c:v>2014年11月</c:v>
                </c:pt>
                <c:pt idx="9">
                  <c:v>2014年12月</c:v>
                </c:pt>
                <c:pt idx="10">
                  <c:v>2015年1月</c:v>
                </c:pt>
                <c:pt idx="11">
                  <c:v>2015年2月</c:v>
                </c:pt>
                <c:pt idx="12">
                  <c:v>2015年3月</c:v>
                </c:pt>
                <c:pt idx="13">
                  <c:v>2015年4月</c:v>
                </c:pt>
                <c:pt idx="14">
                  <c:v>2015年5月</c:v>
                </c:pt>
                <c:pt idx="15">
                  <c:v>2015年6月</c:v>
                </c:pt>
              </c:strCache>
            </c:strRef>
          </c:cat>
          <c:val>
            <c:numRef>
              <c:f>第1题!$D$2:$D$17</c:f>
              <c:numCache>
                <c:formatCode>General</c:formatCode>
                <c:ptCount val="16"/>
                <c:pt idx="0">
                  <c:v>3100200</c:v>
                </c:pt>
                <c:pt idx="1">
                  <c:v>3100511</c:v>
                </c:pt>
                <c:pt idx="2">
                  <c:v>3287812</c:v>
                </c:pt>
                <c:pt idx="3">
                  <c:v>3432214</c:v>
                </c:pt>
                <c:pt idx="4">
                  <c:v>3001288</c:v>
                </c:pt>
                <c:pt idx="5">
                  <c:v>3445440</c:v>
                </c:pt>
                <c:pt idx="6" formatCode="0">
                  <c:v>3470037</c:v>
                </c:pt>
                <c:pt idx="7" formatCode="0">
                  <c:v>3532913</c:v>
                </c:pt>
                <c:pt idx="8" formatCode="0">
                  <c:v>3684112</c:v>
                </c:pt>
                <c:pt idx="9" formatCode="0">
                  <c:v>3975141</c:v>
                </c:pt>
                <c:pt idx="10" formatCode="0">
                  <c:v>4020094</c:v>
                </c:pt>
                <c:pt idx="11" formatCode="0">
                  <c:v>4086484</c:v>
                </c:pt>
                <c:pt idx="12" formatCode="0">
                  <c:v>3970172</c:v>
                </c:pt>
                <c:pt idx="13" formatCode="0">
                  <c:v>3987141</c:v>
                </c:pt>
                <c:pt idx="14" formatCode="0">
                  <c:v>4234121</c:v>
                </c:pt>
                <c:pt idx="15" formatCode="0">
                  <c:v>4561474</c:v>
                </c:pt>
              </c:numCache>
            </c:numRef>
          </c:val>
          <c:smooth val="0"/>
          <c:extLst>
            <c:ext xmlns:c16="http://schemas.microsoft.com/office/drawing/2014/chart" uri="{C3380CC4-5D6E-409C-BE32-E72D297353CC}">
              <c16:uniqueId val="{00000000-1563-426F-8753-5AB9D0B1829F}"/>
            </c:ext>
          </c:extLst>
        </c:ser>
        <c:dLbls>
          <c:showLegendKey val="0"/>
          <c:showVal val="0"/>
          <c:showCatName val="0"/>
          <c:showSerName val="0"/>
          <c:showPercent val="0"/>
          <c:showBubbleSize val="0"/>
        </c:dLbls>
        <c:marker val="1"/>
        <c:smooth val="0"/>
        <c:axId val="738914128"/>
        <c:axId val="738912208"/>
      </c:lineChart>
      <c:catAx>
        <c:axId val="738914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38912208"/>
        <c:crosses val="autoZero"/>
        <c:auto val="1"/>
        <c:lblAlgn val="ctr"/>
        <c:lblOffset val="100"/>
        <c:noMultiLvlLbl val="0"/>
      </c:catAx>
      <c:valAx>
        <c:axId val="738912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3891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'第4题 '!$D$3:$D$12</c:f>
              <c:numCache>
                <c:formatCode>General</c:formatCode>
                <c:ptCount val="10"/>
                <c:pt idx="0">
                  <c:v>100</c:v>
                </c:pt>
                <c:pt idx="1">
                  <c:v>200</c:v>
                </c:pt>
                <c:pt idx="2">
                  <c:v>300</c:v>
                </c:pt>
                <c:pt idx="3">
                  <c:v>400</c:v>
                </c:pt>
                <c:pt idx="4">
                  <c:v>500</c:v>
                </c:pt>
                <c:pt idx="5">
                  <c:v>600</c:v>
                </c:pt>
                <c:pt idx="6">
                  <c:v>700</c:v>
                </c:pt>
                <c:pt idx="7">
                  <c:v>800</c:v>
                </c:pt>
                <c:pt idx="8">
                  <c:v>900</c:v>
                </c:pt>
                <c:pt idx="9">
                  <c:v>1000</c:v>
                </c:pt>
              </c:numCache>
            </c:numRef>
          </c:xVal>
          <c:yVal>
            <c:numRef>
              <c:f>'第4题 '!$E$3:$E$12</c:f>
              <c:numCache>
                <c:formatCode>General</c:formatCode>
                <c:ptCount val="10"/>
                <c:pt idx="0">
                  <c:v>37000</c:v>
                </c:pt>
                <c:pt idx="1">
                  <c:v>20000</c:v>
                </c:pt>
                <c:pt idx="2">
                  <c:v>15000</c:v>
                </c:pt>
                <c:pt idx="3">
                  <c:v>13000</c:v>
                </c:pt>
                <c:pt idx="4">
                  <c:v>12200</c:v>
                </c:pt>
                <c:pt idx="5">
                  <c:v>12000</c:v>
                </c:pt>
                <c:pt idx="6" formatCode="0_ ">
                  <c:v>12142.857142857143</c:v>
                </c:pt>
                <c:pt idx="7">
                  <c:v>12500</c:v>
                </c:pt>
                <c:pt idx="8">
                  <c:v>13000</c:v>
                </c:pt>
                <c:pt idx="9">
                  <c:v>13600</c:v>
                </c:pt>
              </c:numCache>
            </c:numRef>
          </c:yVal>
          <c:smooth val="1"/>
          <c:extLst>
            <c:ext xmlns:c16="http://schemas.microsoft.com/office/drawing/2014/chart" uri="{C3380CC4-5D6E-409C-BE32-E72D297353CC}">
              <c16:uniqueId val="{00000000-4FC3-48F7-A4D6-E82EFDF024EE}"/>
            </c:ext>
          </c:extLst>
        </c:ser>
        <c:ser>
          <c:idx val="1"/>
          <c:order val="1"/>
          <c:tx>
            <c:strRef>
              <c:f>'第4题 '!$D$14</c:f>
              <c:strCache>
                <c:ptCount val="1"/>
                <c:pt idx="0">
                  <c:v>垂直参考线</c:v>
                </c:pt>
              </c:strCache>
            </c:strRef>
          </c:tx>
          <c:spPr>
            <a:ln w="19050" cap="rnd">
              <a:solidFill>
                <a:schemeClr val="accent2"/>
              </a:solidFill>
              <a:round/>
            </a:ln>
            <a:effectLst/>
          </c:spPr>
          <c:marker>
            <c:symbol val="none"/>
          </c:marker>
          <c:xVal>
            <c:numRef>
              <c:f>'第4题 '!$D$15:$D$17</c:f>
              <c:numCache>
                <c:formatCode>0.0</c:formatCode>
                <c:ptCount val="3"/>
                <c:pt idx="0">
                  <c:v>600</c:v>
                </c:pt>
                <c:pt idx="1">
                  <c:v>600</c:v>
                </c:pt>
                <c:pt idx="2">
                  <c:v>600</c:v>
                </c:pt>
              </c:numCache>
            </c:numRef>
          </c:xVal>
          <c:yVal>
            <c:numRef>
              <c:f>'第4题 '!$E$15:$E$17</c:f>
              <c:numCache>
                <c:formatCode>0.0</c:formatCode>
                <c:ptCount val="3"/>
                <c:pt idx="0" formatCode="General">
                  <c:v>0</c:v>
                </c:pt>
                <c:pt idx="1">
                  <c:v>12000</c:v>
                </c:pt>
                <c:pt idx="2" formatCode="General">
                  <c:v>40000</c:v>
                </c:pt>
              </c:numCache>
            </c:numRef>
          </c:yVal>
          <c:smooth val="1"/>
          <c:extLst>
            <c:ext xmlns:c16="http://schemas.microsoft.com/office/drawing/2014/chart" uri="{C3380CC4-5D6E-409C-BE32-E72D297353CC}">
              <c16:uniqueId val="{00000001-4FC3-48F7-A4D6-E82EFDF024EE}"/>
            </c:ext>
          </c:extLst>
        </c:ser>
        <c:dLbls>
          <c:showLegendKey val="0"/>
          <c:showVal val="0"/>
          <c:showCatName val="0"/>
          <c:showSerName val="0"/>
          <c:showPercent val="0"/>
          <c:showBubbleSize val="0"/>
        </c:dLbls>
        <c:axId val="577160544"/>
        <c:axId val="577163040"/>
      </c:scatterChart>
      <c:valAx>
        <c:axId val="577160544"/>
        <c:scaling>
          <c:orientation val="minMax"/>
          <c:max val="1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77163040"/>
        <c:crosses val="autoZero"/>
        <c:crossBetween val="midCat"/>
      </c:valAx>
      <c:valAx>
        <c:axId val="57716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771605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6" fmlaLink="$D$2" inc="100" max="4000" min="500" page="10" val="1600"/>
</file>

<file path=xl/ctrlProps/ctrlProp2.xml><?xml version="1.0" encoding="utf-8"?>
<formControlPr xmlns="http://schemas.microsoft.com/office/spreadsheetml/2009/9/main" objectType="Spin" dx="22" fmlaLink="$D$18" inc="100" max="4000" min="500" page="10" val="1500"/>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4.emf"/></Relationships>
</file>

<file path=xl/drawings/_rels/drawing7.x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65</xdr:row>
      <xdr:rowOff>0</xdr:rowOff>
    </xdr:from>
    <xdr:to>
      <xdr:col>10</xdr:col>
      <xdr:colOff>843998</xdr:colOff>
      <xdr:row>85</xdr:row>
      <xdr:rowOff>111125</xdr:rowOff>
    </xdr:to>
    <xdr:pic>
      <xdr:nvPicPr>
        <xdr:cNvPr id="2" name="Picture 4">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553825"/>
          <a:ext cx="7543800" cy="3781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113058</xdr:colOff>
      <xdr:row>20</xdr:row>
      <xdr:rowOff>74129</xdr:rowOff>
    </xdr:from>
    <xdr:to>
      <xdr:col>14</xdr:col>
      <xdr:colOff>473352</xdr:colOff>
      <xdr:row>27</xdr:row>
      <xdr:rowOff>64605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988987" y="4233753"/>
          <a:ext cx="4600600" cy="137104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1</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太平保险某营业部</a:t>
          </a:r>
          <a:r>
            <a:rPr lang="en-US" altLang="zh-CN" sz="1100">
              <a:solidFill>
                <a:schemeClr val="dk1"/>
              </a:solidFill>
              <a:effectLst/>
              <a:latin typeface="+mn-lt"/>
              <a:ea typeface="+mn-ea"/>
              <a:cs typeface="+mn-cs"/>
            </a:rPr>
            <a:t>2014</a:t>
          </a:r>
          <a:r>
            <a:rPr lang="zh-CN" altLang="zh-CN" sz="1100">
              <a:solidFill>
                <a:schemeClr val="dk1"/>
              </a:solidFill>
              <a:effectLst/>
              <a:latin typeface="+mn-lt"/>
              <a:ea typeface="+mn-ea"/>
              <a:cs typeface="+mn-cs"/>
            </a:rPr>
            <a:t>年</a:t>
          </a:r>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月至</a:t>
          </a:r>
          <a:r>
            <a:rPr lang="en-US" altLang="zh-CN" sz="1100">
              <a:solidFill>
                <a:schemeClr val="dk1"/>
              </a:solidFill>
              <a:effectLst/>
              <a:latin typeface="+mn-lt"/>
              <a:ea typeface="+mn-ea"/>
              <a:cs typeface="+mn-cs"/>
            </a:rPr>
            <a:t>2015</a:t>
          </a:r>
          <a:r>
            <a:rPr lang="zh-CN" altLang="zh-CN" sz="1100">
              <a:solidFill>
                <a:schemeClr val="dk1"/>
              </a:solidFill>
              <a:effectLst/>
              <a:latin typeface="+mn-lt"/>
              <a:ea typeface="+mn-ea"/>
              <a:cs typeface="+mn-cs"/>
            </a:rPr>
            <a:t>年</a:t>
          </a:r>
          <a:r>
            <a:rPr lang="en-US" altLang="zh-CN" sz="1100">
              <a:solidFill>
                <a:schemeClr val="dk1"/>
              </a:solidFill>
              <a:effectLst/>
              <a:latin typeface="+mn-lt"/>
              <a:ea typeface="+mn-ea"/>
              <a:cs typeface="+mn-cs"/>
            </a:rPr>
            <a:t>6</a:t>
          </a:r>
          <a:r>
            <a:rPr lang="zh-CN" altLang="zh-CN" sz="1100">
              <a:solidFill>
                <a:schemeClr val="dk1"/>
              </a:solidFill>
              <a:effectLst/>
              <a:latin typeface="+mn-lt"/>
              <a:ea typeface="+mn-ea"/>
              <a:cs typeface="+mn-cs"/>
            </a:rPr>
            <a:t>月销售形势稳步增长</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其销售数据存放在当前工作表中。请根据这些数据，分别运用函数法、规划求解法和回归分析法预测</a:t>
          </a:r>
          <a:r>
            <a:rPr lang="en-US" altLang="zh-CN" sz="1100">
              <a:solidFill>
                <a:schemeClr val="dk1"/>
              </a:solidFill>
              <a:effectLst/>
              <a:latin typeface="+mn-lt"/>
              <a:ea typeface="+mn-ea"/>
              <a:cs typeface="+mn-cs"/>
            </a:rPr>
            <a:t>2015</a:t>
          </a:r>
          <a:r>
            <a:rPr lang="zh-CN" altLang="zh-CN" sz="1100">
              <a:solidFill>
                <a:schemeClr val="dk1"/>
              </a:solidFill>
              <a:effectLst/>
              <a:latin typeface="+mn-lt"/>
              <a:ea typeface="+mn-ea"/>
              <a:cs typeface="+mn-cs"/>
            </a:rPr>
            <a:t>第三季度各月的销售情况</a:t>
          </a:r>
          <a:r>
            <a:rPr lang="zh-CN" altLang="en-US" sz="1100">
              <a:solidFill>
                <a:schemeClr val="dk1"/>
              </a:solidFill>
              <a:effectLst/>
              <a:latin typeface="+mn-lt"/>
              <a:ea typeface="+mn-ea"/>
              <a:cs typeface="+mn-cs"/>
            </a:rPr>
            <a:t>。</a:t>
          </a:r>
          <a:endParaRPr lang="zh-CN" altLang="en-US" sz="1100"/>
        </a:p>
      </xdr:txBody>
    </xdr:sp>
    <xdr:clientData/>
  </xdr:twoCellAnchor>
  <xdr:twoCellAnchor>
    <xdr:from>
      <xdr:col>2</xdr:col>
      <xdr:colOff>844826</xdr:colOff>
      <xdr:row>22</xdr:row>
      <xdr:rowOff>168965</xdr:rowOff>
    </xdr:from>
    <xdr:to>
      <xdr:col>9</xdr:col>
      <xdr:colOff>566531</xdr:colOff>
      <xdr:row>36</xdr:row>
      <xdr:rowOff>129208</xdr:rowOff>
    </xdr:to>
    <xdr:graphicFrame macro="">
      <xdr:nvGraphicFramePr>
        <xdr:cNvPr id="5" name="图表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16</xdr:row>
      <xdr:rowOff>95250</xdr:rowOff>
    </xdr:from>
    <xdr:to>
      <xdr:col>5</xdr:col>
      <xdr:colOff>476250</xdr:colOff>
      <xdr:row>29</xdr:row>
      <xdr:rowOff>0</xdr:rowOff>
    </xdr:to>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52400" y="3048000"/>
              <a:ext cx="3905250" cy="21336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2</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en-US"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某作物单位面积上的产量与单位产品成本之间近似满足如下所示的双曲线型关系。</a:t>
              </a:r>
            </a:p>
            <a:p>
              <a:pPr/>
              <a14:m>
                <m:oMathPara xmlns:m="http://schemas.openxmlformats.org/officeDocument/2006/math">
                  <m:oMathParaPr>
                    <m:jc m:val="centerGroup"/>
                  </m:oMathParaPr>
                  <m:oMath xmlns:m="http://schemas.openxmlformats.org/officeDocument/2006/math">
                    <m:r>
                      <a:rPr lang="en-US" altLang="zh-CN" sz="1100" i="1">
                        <a:solidFill>
                          <a:schemeClr val="dk1"/>
                        </a:solidFill>
                        <a:effectLst/>
                        <a:latin typeface="Cambria Math"/>
                        <a:ea typeface="+mn-ea"/>
                        <a:cs typeface="+mn-cs"/>
                      </a:rPr>
                      <m:t>𝑌</m:t>
                    </m:r>
                    <m:r>
                      <a:rPr lang="en-US" altLang="zh-CN" sz="1100" i="1">
                        <a:solidFill>
                          <a:schemeClr val="dk1"/>
                        </a:solidFill>
                        <a:effectLst/>
                        <a:latin typeface="Cambria Math"/>
                        <a:ea typeface="+mn-ea"/>
                        <a:cs typeface="+mn-cs"/>
                      </a:rPr>
                      <m:t>=</m:t>
                    </m:r>
                    <m:r>
                      <a:rPr lang="en-US" altLang="zh-CN" sz="1100" i="1">
                        <a:solidFill>
                          <a:schemeClr val="dk1"/>
                        </a:solidFill>
                        <a:effectLst/>
                        <a:latin typeface="Cambria Math"/>
                        <a:ea typeface="+mn-ea"/>
                        <a:cs typeface="+mn-cs"/>
                      </a:rPr>
                      <m:t>𝑎</m:t>
                    </m:r>
                    <m:r>
                      <a:rPr lang="en-US" altLang="zh-CN" sz="1100" i="1">
                        <a:solidFill>
                          <a:schemeClr val="dk1"/>
                        </a:solidFill>
                        <a:effectLst/>
                        <a:latin typeface="Cambria Math"/>
                        <a:ea typeface="+mn-ea"/>
                        <a:cs typeface="+mn-cs"/>
                      </a:rPr>
                      <m:t>+</m:t>
                    </m:r>
                    <m:f>
                      <m:fPr>
                        <m:ctrlPr>
                          <a:rPr lang="zh-CN" altLang="zh-CN" sz="1100" i="1">
                            <a:solidFill>
                              <a:schemeClr val="dk1"/>
                            </a:solidFill>
                            <a:effectLst/>
                            <a:latin typeface="Cambria Math" panose="02040503050406030204" pitchFamily="18" charset="0"/>
                            <a:ea typeface="+mn-ea"/>
                            <a:cs typeface="+mn-cs"/>
                          </a:rPr>
                        </m:ctrlPr>
                      </m:fPr>
                      <m:num>
                        <m:r>
                          <a:rPr lang="en-US" altLang="zh-CN" sz="1100" i="1">
                            <a:solidFill>
                              <a:schemeClr val="dk1"/>
                            </a:solidFill>
                            <a:effectLst/>
                            <a:latin typeface="Cambria Math"/>
                            <a:ea typeface="+mn-ea"/>
                            <a:cs typeface="+mn-cs"/>
                          </a:rPr>
                          <m:t>𝑏</m:t>
                        </m:r>
                      </m:num>
                      <m:den>
                        <m:r>
                          <a:rPr lang="en-US" altLang="zh-CN" sz="1100" i="1">
                            <a:solidFill>
                              <a:schemeClr val="dk1"/>
                            </a:solidFill>
                            <a:effectLst/>
                            <a:latin typeface="Cambria Math"/>
                            <a:ea typeface="+mn-ea"/>
                            <a:cs typeface="+mn-cs"/>
                          </a:rPr>
                          <m:t>𝑥</m:t>
                        </m:r>
                      </m:den>
                    </m:f>
                  </m:oMath>
                </m:oMathPara>
              </a14:m>
              <a:endParaRPr lang="zh-CN" altLang="zh-CN" sz="1100">
                <a:solidFill>
                  <a:schemeClr val="dk1"/>
                </a:solidFill>
                <a:effectLst/>
                <a:latin typeface="+mn-lt"/>
                <a:ea typeface="+mn-ea"/>
                <a:cs typeface="+mn-cs"/>
              </a:endParaRPr>
            </a:p>
            <a:p>
              <a:r>
                <a:rPr lang="zh-CN" altLang="zh-CN" sz="1100">
                  <a:solidFill>
                    <a:schemeClr val="dk1"/>
                  </a:solidFill>
                  <a:effectLst/>
                  <a:latin typeface="+mn-lt"/>
                  <a:ea typeface="+mn-ea"/>
                  <a:cs typeface="+mn-cs"/>
                </a:rPr>
                <a:t>试利用下表中资料，建立回归模型，计算：</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回归方程的系数</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和</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判定系数</a:t>
              </a:r>
              <a:r>
                <a:rPr lang="en-US" altLang="zh-CN" sz="1100">
                  <a:solidFill>
                    <a:schemeClr val="dk1"/>
                  </a:solidFill>
                  <a:effectLst/>
                  <a:latin typeface="+mn-lt"/>
                  <a:ea typeface="+mn-ea"/>
                  <a:cs typeface="+mn-cs"/>
                </a:rPr>
                <a:t>R</a:t>
              </a:r>
              <a:r>
                <a:rPr lang="zh-CN" altLang="zh-CN" sz="1100">
                  <a:solidFill>
                    <a:schemeClr val="dk1"/>
                  </a:solidFill>
                  <a:effectLst/>
                  <a:latin typeface="+mn-lt"/>
                  <a:ea typeface="+mn-ea"/>
                  <a:cs typeface="+mn-cs"/>
                </a:rPr>
                <a:t>平方值；</a:t>
              </a: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产量为</a:t>
              </a:r>
              <a:r>
                <a:rPr lang="en-US" altLang="zh-CN" sz="1100">
                  <a:solidFill>
                    <a:schemeClr val="dk1"/>
                  </a:solidFill>
                  <a:effectLst/>
                  <a:latin typeface="+mn-lt"/>
                  <a:ea typeface="+mn-ea"/>
                  <a:cs typeface="+mn-cs"/>
                </a:rPr>
                <a:t>5</a:t>
              </a:r>
              <a:r>
                <a:rPr lang="zh-CN" altLang="zh-CN" sz="1100">
                  <a:solidFill>
                    <a:schemeClr val="dk1"/>
                  </a:solidFill>
                  <a:effectLst/>
                  <a:latin typeface="+mn-lt"/>
                  <a:ea typeface="+mn-ea"/>
                  <a:cs typeface="+mn-cs"/>
                </a:rPr>
                <a:t>吨时的单位产品成本预测值。</a:t>
              </a:r>
            </a:p>
            <a:p>
              <a:endParaRPr lang="zh-CN" altLang="en-US" sz="1100"/>
            </a:p>
          </xdr:txBody>
        </xdr:sp>
      </mc:Choice>
      <mc:Fallback>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52400" y="3048000"/>
              <a:ext cx="3905250" cy="21336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2</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en-US"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某作物单位面积上的产量与单位产品成本之间近似满足如下所示的双曲线型关系。</a:t>
              </a:r>
            </a:p>
            <a:p>
              <a:pPr/>
              <a:r>
                <a:rPr lang="en-US" altLang="zh-CN" sz="1100" i="0">
                  <a:solidFill>
                    <a:schemeClr val="dk1"/>
                  </a:solidFill>
                  <a:effectLst/>
                  <a:latin typeface="Cambria Math"/>
                  <a:ea typeface="+mn-ea"/>
                  <a:cs typeface="+mn-cs"/>
                </a:rPr>
                <a:t>𝑌=𝑎+𝑏</a:t>
              </a:r>
              <a:r>
                <a:rPr lang="zh-CN" altLang="zh-CN" sz="1100" i="0">
                  <a:solidFill>
                    <a:schemeClr val="dk1"/>
                  </a:solidFill>
                  <a:effectLst/>
                  <a:latin typeface="Cambria Math" panose="02040503050406030204" pitchFamily="18" charset="0"/>
                  <a:ea typeface="+mn-ea"/>
                  <a:cs typeface="+mn-cs"/>
                </a:rPr>
                <a:t>/</a:t>
              </a:r>
              <a:r>
                <a:rPr lang="en-US" altLang="zh-CN" sz="1100" i="0">
                  <a:solidFill>
                    <a:schemeClr val="dk1"/>
                  </a:solidFill>
                  <a:effectLst/>
                  <a:latin typeface="Cambria Math"/>
                  <a:ea typeface="+mn-ea"/>
                  <a:cs typeface="+mn-cs"/>
                </a:rPr>
                <a:t>𝑥</a:t>
              </a:r>
              <a:endParaRPr lang="zh-CN" altLang="zh-CN" sz="1100">
                <a:solidFill>
                  <a:schemeClr val="dk1"/>
                </a:solidFill>
                <a:effectLst/>
                <a:latin typeface="+mn-lt"/>
                <a:ea typeface="+mn-ea"/>
                <a:cs typeface="+mn-cs"/>
              </a:endParaRPr>
            </a:p>
            <a:p>
              <a:r>
                <a:rPr lang="zh-CN" altLang="zh-CN" sz="1100">
                  <a:solidFill>
                    <a:schemeClr val="dk1"/>
                  </a:solidFill>
                  <a:effectLst/>
                  <a:latin typeface="+mn-lt"/>
                  <a:ea typeface="+mn-ea"/>
                  <a:cs typeface="+mn-cs"/>
                </a:rPr>
                <a:t>试利用下表中资料，建立回归模型，计算：</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回归方程的系数</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和</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判定系数</a:t>
              </a:r>
              <a:r>
                <a:rPr lang="en-US" altLang="zh-CN" sz="1100">
                  <a:solidFill>
                    <a:schemeClr val="dk1"/>
                  </a:solidFill>
                  <a:effectLst/>
                  <a:latin typeface="+mn-lt"/>
                  <a:ea typeface="+mn-ea"/>
                  <a:cs typeface="+mn-cs"/>
                </a:rPr>
                <a:t>R</a:t>
              </a:r>
              <a:r>
                <a:rPr lang="zh-CN" altLang="zh-CN" sz="1100">
                  <a:solidFill>
                    <a:schemeClr val="dk1"/>
                  </a:solidFill>
                  <a:effectLst/>
                  <a:latin typeface="+mn-lt"/>
                  <a:ea typeface="+mn-ea"/>
                  <a:cs typeface="+mn-cs"/>
                </a:rPr>
                <a:t>平方值；</a:t>
              </a: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产量为</a:t>
              </a:r>
              <a:r>
                <a:rPr lang="en-US" altLang="zh-CN" sz="1100">
                  <a:solidFill>
                    <a:schemeClr val="dk1"/>
                  </a:solidFill>
                  <a:effectLst/>
                  <a:latin typeface="+mn-lt"/>
                  <a:ea typeface="+mn-ea"/>
                  <a:cs typeface="+mn-cs"/>
                </a:rPr>
                <a:t>5</a:t>
              </a:r>
              <a:r>
                <a:rPr lang="zh-CN" altLang="zh-CN" sz="1100">
                  <a:solidFill>
                    <a:schemeClr val="dk1"/>
                  </a:solidFill>
                  <a:effectLst/>
                  <a:latin typeface="+mn-lt"/>
                  <a:ea typeface="+mn-ea"/>
                  <a:cs typeface="+mn-cs"/>
                </a:rPr>
                <a:t>吨时的单位产品成本预测值。</a:t>
              </a:r>
            </a:p>
            <a:p>
              <a:endParaRPr lang="zh-CN" altLang="en-US" sz="1100"/>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34</xdr:row>
      <xdr:rowOff>0</xdr:rowOff>
    </xdr:from>
    <xdr:to>
      <xdr:col>7</xdr:col>
      <xdr:colOff>116205</xdr:colOff>
      <xdr:row>48</xdr:row>
      <xdr:rowOff>47625</xdr:rowOff>
    </xdr:to>
    <xdr:pic>
      <xdr:nvPicPr>
        <xdr:cNvPr id="4" name="Picture 6">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34075"/>
          <a:ext cx="4124325" cy="24479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10</xdr:col>
      <xdr:colOff>276224</xdr:colOff>
      <xdr:row>9</xdr:row>
      <xdr:rowOff>19050</xdr:rowOff>
    </xdr:from>
    <xdr:to>
      <xdr:col>16</xdr:col>
      <xdr:colOff>38099</xdr:colOff>
      <xdr:row>25</xdr:row>
      <xdr:rowOff>85726</xdr:rowOff>
    </xdr:to>
    <xdr:grpSp>
      <xdr:nvGrpSpPr>
        <xdr:cNvPr id="6" name="组合 5">
          <a:extLst>
            <a:ext uri="{FF2B5EF4-FFF2-40B4-BE49-F238E27FC236}">
              <a16:creationId xmlns:a16="http://schemas.microsoft.com/office/drawing/2014/main" id="{00000000-0008-0000-0200-000006000000}"/>
            </a:ext>
          </a:extLst>
        </xdr:cNvPr>
        <xdr:cNvGrpSpPr/>
      </xdr:nvGrpSpPr>
      <xdr:grpSpPr>
        <a:xfrm>
          <a:off x="5648324" y="1786890"/>
          <a:ext cx="3876675" cy="3114676"/>
          <a:chOff x="3267074" y="2314575"/>
          <a:chExt cx="3876675" cy="2867026"/>
        </a:xfrm>
      </xdr:grpSpPr>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3267074" y="2314575"/>
            <a:ext cx="3876675" cy="286702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3</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设有三个化肥厂供应四个地区的农用化肥。假定等量的化肥在这些地区使用效果相同。各化肥厂年产量、各地区年需要量及从各化肥厂到各地区运送单位化肥的运价如表所示。要求：</a:t>
            </a:r>
            <a:endParaRPr lang="zh-CN" altLang="zh-CN">
              <a:effectLst/>
            </a:endParaRPr>
          </a:p>
          <a:p>
            <a:pPr rtl="0"/>
            <a:r>
              <a:rPr lang="en-US" altLang="zh-CN" sz="1100" b="0" i="0" baseline="0">
                <a:solidFill>
                  <a:schemeClr val="dk1"/>
                </a:solidFill>
                <a:effectLst/>
                <a:latin typeface="+mn-lt"/>
                <a:ea typeface="+mn-ea"/>
                <a:cs typeface="+mn-cs"/>
              </a:rPr>
              <a:t>1. </a:t>
            </a:r>
            <a:r>
              <a:rPr lang="zh-CN" altLang="zh-CN" sz="1100" b="0" i="0" baseline="0">
                <a:solidFill>
                  <a:schemeClr val="dk1"/>
                </a:solidFill>
                <a:effectLst/>
                <a:latin typeface="+mn-lt"/>
                <a:ea typeface="+mn-ea"/>
                <a:cs typeface="+mn-cs"/>
              </a:rPr>
              <a:t>试求出总运费最节省的化肥调拨方案；</a:t>
            </a:r>
            <a:endParaRPr lang="zh-CN" altLang="zh-CN">
              <a:effectLst/>
            </a:endParaRPr>
          </a:p>
          <a:p>
            <a:pPr rtl="0"/>
            <a:r>
              <a:rPr lang="en-US" altLang="zh-CN" sz="1100" b="0" i="0" baseline="0">
                <a:solidFill>
                  <a:schemeClr val="dk1"/>
                </a:solidFill>
                <a:effectLst/>
                <a:latin typeface="+mn-lt"/>
                <a:ea typeface="+mn-ea"/>
                <a:cs typeface="+mn-cs"/>
              </a:rPr>
              <a:t>2. </a:t>
            </a:r>
            <a:r>
              <a:rPr lang="zh-CN" altLang="zh-CN" sz="1100" b="0" i="0" baseline="0">
                <a:solidFill>
                  <a:schemeClr val="dk1"/>
                </a:solidFill>
                <a:effectLst/>
                <a:latin typeface="+mn-lt"/>
                <a:ea typeface="+mn-ea"/>
                <a:cs typeface="+mn-cs"/>
              </a:rPr>
              <a:t>把规划求解模型参数保存在从A2开始的单元格处。</a:t>
            </a:r>
            <a:endParaRPr lang="zh-CN" altLang="zh-CN">
              <a:effectLst/>
            </a:endParaRPr>
          </a:p>
          <a:p>
            <a:endParaRPr lang="zh-CN" altLang="en-US" sz="1100"/>
          </a:p>
        </xdr:txBody>
      </xdr:sp>
      <xdr:pic>
        <xdr:nvPicPr>
          <xdr:cNvPr id="3" name="Picture 3">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52799" y="3829050"/>
            <a:ext cx="3705225" cy="10668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0</xdr:rowOff>
    </xdr:from>
    <xdr:to>
      <xdr:col>13</xdr:col>
      <xdr:colOff>542925</xdr:colOff>
      <xdr:row>23</xdr:row>
      <xdr:rowOff>47625</xdr:rowOff>
    </xdr:to>
    <xdr:grpSp>
      <xdr:nvGrpSpPr>
        <xdr:cNvPr id="2" name="组合 1">
          <a:extLst>
            <a:ext uri="{FF2B5EF4-FFF2-40B4-BE49-F238E27FC236}">
              <a16:creationId xmlns:a16="http://schemas.microsoft.com/office/drawing/2014/main" id="{00000000-0008-0000-0300-000002000000}"/>
            </a:ext>
          </a:extLst>
        </xdr:cNvPr>
        <xdr:cNvGrpSpPr/>
      </xdr:nvGrpSpPr>
      <xdr:grpSpPr>
        <a:xfrm>
          <a:off x="4538133" y="0"/>
          <a:ext cx="4657725" cy="4492625"/>
          <a:chOff x="4543425" y="1276350"/>
          <a:chExt cx="4657725" cy="4214586"/>
        </a:xfrm>
      </xdr:grpSpPr>
      <xdr:sp macro="" textlink="">
        <xdr:nvSpPr>
          <xdr:cNvPr id="3" name="TextBox 9">
            <a:extLst>
              <a:ext uri="{FF2B5EF4-FFF2-40B4-BE49-F238E27FC236}">
                <a16:creationId xmlns:a16="http://schemas.microsoft.com/office/drawing/2014/main" id="{00000000-0008-0000-0300-000003000000}"/>
              </a:ext>
            </a:extLst>
          </xdr:cNvPr>
          <xdr:cNvSpPr txBox="1"/>
        </xdr:nvSpPr>
        <xdr:spPr>
          <a:xfrm>
            <a:off x="4543425" y="1276350"/>
            <a:ext cx="4657725" cy="421458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4</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利用</a:t>
            </a:r>
            <a:r>
              <a:rPr lang="en-US" altLang="zh-CN" sz="1100">
                <a:solidFill>
                  <a:schemeClr val="dk1"/>
                </a:solidFill>
                <a:effectLst/>
                <a:latin typeface="+mn-lt"/>
                <a:ea typeface="+mn-ea"/>
                <a:cs typeface="+mn-cs"/>
              </a:rPr>
              <a:t>Excel</a:t>
            </a:r>
            <a:r>
              <a:rPr lang="zh-CN" altLang="zh-CN" sz="1100">
                <a:solidFill>
                  <a:schemeClr val="dk1"/>
                </a:solidFill>
                <a:effectLst/>
                <a:latin typeface="+mn-lt"/>
                <a:ea typeface="+mn-ea"/>
                <a:cs typeface="+mn-cs"/>
              </a:rPr>
              <a:t>建立经济订货量模型。假设年需求量为</a:t>
            </a:r>
            <a:r>
              <a:rPr lang="en-US" altLang="zh-CN" sz="1100">
                <a:solidFill>
                  <a:schemeClr val="dk1"/>
                </a:solidFill>
                <a:effectLst/>
                <a:latin typeface="+mn-lt"/>
                <a:ea typeface="+mn-ea"/>
                <a:cs typeface="+mn-cs"/>
              </a:rPr>
              <a:t>12000</a:t>
            </a:r>
            <a:r>
              <a:rPr lang="zh-CN" altLang="zh-CN" sz="1100">
                <a:solidFill>
                  <a:schemeClr val="dk1"/>
                </a:solidFill>
                <a:effectLst/>
                <a:latin typeface="+mn-lt"/>
                <a:ea typeface="+mn-ea"/>
                <a:cs typeface="+mn-cs"/>
              </a:rPr>
              <a:t>，订一次货的固定订货成本为</a:t>
            </a:r>
            <a:r>
              <a:rPr lang="en-US" altLang="zh-CN" sz="1100">
                <a:solidFill>
                  <a:schemeClr val="dk1"/>
                </a:solidFill>
                <a:effectLst/>
                <a:latin typeface="+mn-lt"/>
                <a:ea typeface="+mn-ea"/>
                <a:cs typeface="+mn-cs"/>
              </a:rPr>
              <a:t>300</a:t>
            </a:r>
            <a:r>
              <a:rPr lang="zh-CN" altLang="zh-CN" sz="1100">
                <a:solidFill>
                  <a:schemeClr val="dk1"/>
                </a:solidFill>
                <a:effectLst/>
                <a:latin typeface="+mn-lt"/>
                <a:ea typeface="+mn-ea"/>
                <a:cs typeface="+mn-cs"/>
              </a:rPr>
              <a:t>元，一件商品在仓库里储存一年的费用为</a:t>
            </a:r>
            <a:r>
              <a:rPr lang="en-US" altLang="zh-CN" sz="1100">
                <a:solidFill>
                  <a:schemeClr val="dk1"/>
                </a:solidFill>
                <a:effectLst/>
                <a:latin typeface="+mn-lt"/>
                <a:ea typeface="+mn-ea"/>
                <a:cs typeface="+mn-cs"/>
              </a:rPr>
              <a:t>20</a:t>
            </a:r>
            <a:r>
              <a:rPr lang="zh-CN" altLang="zh-CN" sz="1100">
                <a:solidFill>
                  <a:schemeClr val="dk1"/>
                </a:solidFill>
                <a:effectLst/>
                <a:latin typeface="+mn-lt"/>
                <a:ea typeface="+mn-ea"/>
                <a:cs typeface="+mn-cs"/>
              </a:rPr>
              <a:t>元。要求：</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计算当订货量为</a:t>
            </a:r>
            <a:r>
              <a:rPr lang="en-US" altLang="zh-CN" sz="1100">
                <a:solidFill>
                  <a:schemeClr val="dk1"/>
                </a:solidFill>
                <a:effectLst/>
                <a:latin typeface="+mn-lt"/>
                <a:ea typeface="+mn-ea"/>
                <a:cs typeface="+mn-cs"/>
              </a:rPr>
              <a:t>500</a:t>
            </a:r>
            <a:r>
              <a:rPr lang="zh-CN" altLang="zh-CN" sz="1100">
                <a:solidFill>
                  <a:schemeClr val="dk1"/>
                </a:solidFill>
                <a:effectLst/>
                <a:latin typeface="+mn-lt"/>
                <a:ea typeface="+mn-ea"/>
                <a:cs typeface="+mn-cs"/>
              </a:rPr>
              <a:t>时的年订货成本、年储存成本和年总成本；</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计算经济订货量</a:t>
            </a:r>
            <a:r>
              <a:rPr lang="en-US" altLang="zh-CN" sz="1100">
                <a:solidFill>
                  <a:schemeClr val="dk1"/>
                </a:solidFill>
                <a:effectLst/>
                <a:latin typeface="+mn-lt"/>
                <a:ea typeface="+mn-ea"/>
                <a:cs typeface="+mn-cs"/>
              </a:rPr>
              <a:t>EOQ</a:t>
            </a:r>
            <a:r>
              <a:rPr lang="zh-CN" altLang="zh-CN" sz="1100">
                <a:solidFill>
                  <a:schemeClr val="dk1"/>
                </a:solidFill>
                <a:effectLst/>
                <a:latin typeface="+mn-lt"/>
                <a:ea typeface="+mn-ea"/>
                <a:cs typeface="+mn-cs"/>
              </a:rPr>
              <a:t>和</a:t>
            </a:r>
            <a:r>
              <a:rPr lang="en-US" altLang="zh-CN" sz="1100">
                <a:solidFill>
                  <a:schemeClr val="dk1"/>
                </a:solidFill>
                <a:effectLst/>
                <a:latin typeface="+mn-lt"/>
                <a:ea typeface="+mn-ea"/>
                <a:cs typeface="+mn-cs"/>
              </a:rPr>
              <a:t>EOQ</a:t>
            </a:r>
            <a:r>
              <a:rPr lang="zh-CN" altLang="zh-CN" sz="1100">
                <a:solidFill>
                  <a:schemeClr val="dk1"/>
                </a:solidFill>
                <a:effectLst/>
                <a:latin typeface="+mn-lt"/>
                <a:ea typeface="+mn-ea"/>
                <a:cs typeface="+mn-cs"/>
              </a:rPr>
              <a:t>下的年总成本；</a:t>
            </a: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在本工作表中绘制反映年总成本随订货量变化的图形，并添加经济订货量垂直参考线。</a:t>
            </a:r>
          </a:p>
          <a:p>
            <a:endParaRPr lang="zh-CN" altLang="en-US" sz="1100"/>
          </a:p>
        </xdr:txBody>
      </xdr:sp>
      <xdr:pic>
        <xdr:nvPicPr>
          <xdr:cNvPr id="4" name="图片 3">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81537" y="2854769"/>
            <a:ext cx="4400550" cy="2550799"/>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83826</xdr:colOff>
      <xdr:row>17</xdr:row>
      <xdr:rowOff>160665</xdr:rowOff>
    </xdr:from>
    <xdr:to>
      <xdr:col>6</xdr:col>
      <xdr:colOff>426115</xdr:colOff>
      <xdr:row>31</xdr:row>
      <xdr:rowOff>72297</xdr:rowOff>
    </xdr:to>
    <xdr:graphicFrame macro="">
      <xdr:nvGraphicFramePr>
        <xdr:cNvPr id="5" name="图表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388408</xdr:colOff>
      <xdr:row>12</xdr:row>
      <xdr:rowOff>237067</xdr:rowOff>
    </xdr:from>
    <xdr:to>
      <xdr:col>17</xdr:col>
      <xdr:colOff>683684</xdr:colOff>
      <xdr:row>26</xdr:row>
      <xdr:rowOff>74084</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6124575" y="2290234"/>
          <a:ext cx="5110692" cy="2429933"/>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5</a:t>
          </a:r>
          <a:r>
            <a:rPr lang="zh-CN" altLang="zh-CN" sz="1100" b="1" i="0" baseline="0">
              <a:solidFill>
                <a:schemeClr val="dk1"/>
              </a:solidFill>
              <a:effectLst/>
              <a:latin typeface="+mn-lt"/>
              <a:ea typeface="+mn-ea"/>
              <a:cs typeface="+mn-cs"/>
            </a:rPr>
            <a:t>题</a:t>
          </a:r>
          <a:r>
            <a:rPr lang="en-US"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某公司销售一种产品，其销售单价为</a:t>
          </a:r>
          <a:r>
            <a:rPr lang="en-US" altLang="zh-CN" sz="1100">
              <a:solidFill>
                <a:schemeClr val="dk1"/>
              </a:solidFill>
              <a:effectLst/>
              <a:latin typeface="+mn-lt"/>
              <a:ea typeface="+mn-ea"/>
              <a:cs typeface="+mn-cs"/>
            </a:rPr>
            <a:t>25</a:t>
          </a:r>
          <a:r>
            <a:rPr lang="zh-CN" altLang="zh-CN" sz="1100">
              <a:solidFill>
                <a:schemeClr val="dk1"/>
              </a:solidFill>
              <a:effectLst/>
              <a:latin typeface="+mn-lt"/>
              <a:ea typeface="+mn-ea"/>
              <a:cs typeface="+mn-cs"/>
            </a:rPr>
            <a:t>元</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只，年固定成本为</a:t>
          </a:r>
          <a:r>
            <a:rPr lang="en-US" altLang="zh-CN" sz="1100">
              <a:solidFill>
                <a:schemeClr val="dk1"/>
              </a:solidFill>
              <a:effectLst/>
              <a:latin typeface="+mn-lt"/>
              <a:ea typeface="+mn-ea"/>
              <a:cs typeface="+mn-cs"/>
            </a:rPr>
            <a:t>1000</a:t>
          </a:r>
          <a:r>
            <a:rPr lang="zh-CN" altLang="zh-CN" sz="1100">
              <a:solidFill>
                <a:schemeClr val="dk1"/>
              </a:solidFill>
              <a:effectLst/>
              <a:latin typeface="+mn-lt"/>
              <a:ea typeface="+mn-ea"/>
              <a:cs typeface="+mn-cs"/>
            </a:rPr>
            <a:t>元。该产品既可以从其他生产厂购买也可以自制。如果外购的话，购价按档计算：采购数量小于</a:t>
          </a:r>
          <a:r>
            <a:rPr lang="en-US" altLang="zh-CN" sz="1100">
              <a:solidFill>
                <a:schemeClr val="dk1"/>
              </a:solidFill>
              <a:effectLst/>
              <a:latin typeface="+mn-lt"/>
              <a:ea typeface="+mn-ea"/>
              <a:cs typeface="+mn-cs"/>
            </a:rPr>
            <a:t>1500</a:t>
          </a:r>
          <a:r>
            <a:rPr lang="zh-CN" altLang="zh-CN" sz="1100">
              <a:solidFill>
                <a:schemeClr val="dk1"/>
              </a:solidFill>
              <a:effectLst/>
              <a:latin typeface="+mn-lt"/>
              <a:ea typeface="+mn-ea"/>
              <a:cs typeface="+mn-cs"/>
            </a:rPr>
            <a:t>时，购价为</a:t>
          </a:r>
          <a:r>
            <a:rPr lang="en-US" altLang="zh-CN" sz="1100">
              <a:solidFill>
                <a:schemeClr val="dk1"/>
              </a:solidFill>
              <a:effectLst/>
              <a:latin typeface="+mn-lt"/>
              <a:ea typeface="+mn-ea"/>
              <a:cs typeface="+mn-cs"/>
            </a:rPr>
            <a:t>15</a:t>
          </a:r>
          <a:r>
            <a:rPr lang="zh-CN" altLang="zh-CN" sz="1100">
              <a:solidFill>
                <a:schemeClr val="dk1"/>
              </a:solidFill>
              <a:effectLst/>
              <a:latin typeface="+mn-lt"/>
              <a:ea typeface="+mn-ea"/>
              <a:cs typeface="+mn-cs"/>
            </a:rPr>
            <a:t>元</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只；采购数量大于等于</a:t>
          </a:r>
          <a:r>
            <a:rPr lang="en-US" altLang="zh-CN" sz="1100">
              <a:solidFill>
                <a:schemeClr val="dk1"/>
              </a:solidFill>
              <a:effectLst/>
              <a:latin typeface="+mn-lt"/>
              <a:ea typeface="+mn-ea"/>
              <a:cs typeface="+mn-cs"/>
            </a:rPr>
            <a:t>1500</a:t>
          </a:r>
          <a:r>
            <a:rPr lang="zh-CN" altLang="zh-CN" sz="1100">
              <a:solidFill>
                <a:schemeClr val="dk1"/>
              </a:solidFill>
              <a:effectLst/>
              <a:latin typeface="+mn-lt"/>
              <a:ea typeface="+mn-ea"/>
              <a:cs typeface="+mn-cs"/>
            </a:rPr>
            <a:t>时，购价为</a:t>
          </a:r>
          <a:r>
            <a:rPr lang="en-US" altLang="zh-CN" sz="1100">
              <a:solidFill>
                <a:schemeClr val="dk1"/>
              </a:solidFill>
              <a:effectLst/>
              <a:latin typeface="+mn-lt"/>
              <a:ea typeface="+mn-ea"/>
              <a:cs typeface="+mn-cs"/>
            </a:rPr>
            <a:t>12</a:t>
          </a:r>
          <a:r>
            <a:rPr lang="zh-CN" altLang="zh-CN" sz="1100">
              <a:solidFill>
                <a:schemeClr val="dk1"/>
              </a:solidFill>
              <a:effectLst/>
              <a:latin typeface="+mn-lt"/>
              <a:ea typeface="+mn-ea"/>
              <a:cs typeface="+mn-cs"/>
            </a:rPr>
            <a:t>元</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只。如果自制的话，每个产品的单位变动成本为</a:t>
          </a:r>
          <a:r>
            <a:rPr lang="en-US" altLang="zh-CN" sz="1100">
              <a:solidFill>
                <a:schemeClr val="dk1"/>
              </a:solidFill>
              <a:effectLst/>
              <a:latin typeface="+mn-lt"/>
              <a:ea typeface="+mn-ea"/>
              <a:cs typeface="+mn-cs"/>
            </a:rPr>
            <a:t>8</a:t>
          </a:r>
          <a:r>
            <a:rPr lang="zh-CN" altLang="zh-CN" sz="1100">
              <a:solidFill>
                <a:schemeClr val="dk1"/>
              </a:solidFill>
              <a:effectLst/>
              <a:latin typeface="+mn-lt"/>
              <a:ea typeface="+mn-ea"/>
              <a:cs typeface="+mn-cs"/>
            </a:rPr>
            <a:t>元</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只，但此时需要追加年固定成本</a:t>
          </a:r>
          <a:r>
            <a:rPr lang="en-US" altLang="zh-CN" sz="1100">
              <a:solidFill>
                <a:schemeClr val="dk1"/>
              </a:solidFill>
              <a:effectLst/>
              <a:latin typeface="+mn-lt"/>
              <a:ea typeface="+mn-ea"/>
              <a:cs typeface="+mn-cs"/>
            </a:rPr>
            <a:t>12000</a:t>
          </a:r>
          <a:r>
            <a:rPr lang="zh-CN" altLang="zh-CN" sz="1100">
              <a:solidFill>
                <a:schemeClr val="dk1"/>
              </a:solidFill>
              <a:effectLst/>
              <a:latin typeface="+mn-lt"/>
              <a:ea typeface="+mn-ea"/>
              <a:cs typeface="+mn-cs"/>
            </a:rPr>
            <a:t>元（专用生产设备购置费用）。要求：</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若当前销量为</a:t>
          </a:r>
          <a:r>
            <a:rPr lang="en-US" altLang="zh-CN" sz="1100">
              <a:solidFill>
                <a:schemeClr val="dk1"/>
              </a:solidFill>
              <a:effectLst/>
              <a:latin typeface="+mn-lt"/>
              <a:ea typeface="+mn-ea"/>
              <a:cs typeface="+mn-cs"/>
            </a:rPr>
            <a:t>2000</a:t>
          </a:r>
          <a:r>
            <a:rPr lang="zh-CN" altLang="zh-CN" sz="1100">
              <a:solidFill>
                <a:schemeClr val="dk1"/>
              </a:solidFill>
              <a:effectLst/>
              <a:latin typeface="+mn-lt"/>
              <a:ea typeface="+mn-ea"/>
              <a:cs typeface="+mn-cs"/>
            </a:rPr>
            <a:t>，在本工作表中建立一个产品自制与购买的利润比较模型；</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在上述模型的基础上，求出第</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个盈亏平衡销量及利润；</a:t>
          </a: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添加一个微调项，可以使销量从</a:t>
          </a:r>
          <a:r>
            <a:rPr lang="en-US" altLang="zh-CN" sz="1100">
              <a:solidFill>
                <a:schemeClr val="dk1"/>
              </a:solidFill>
              <a:effectLst/>
              <a:latin typeface="+mn-lt"/>
              <a:ea typeface="+mn-ea"/>
              <a:cs typeface="+mn-cs"/>
            </a:rPr>
            <a:t>500</a:t>
          </a:r>
          <a:r>
            <a:rPr lang="zh-CN" altLang="zh-CN" sz="1100">
              <a:solidFill>
                <a:schemeClr val="dk1"/>
              </a:solidFill>
              <a:effectLst/>
              <a:latin typeface="+mn-lt"/>
              <a:ea typeface="+mn-ea"/>
              <a:cs typeface="+mn-cs"/>
            </a:rPr>
            <a:t>按步长</a:t>
          </a:r>
          <a:r>
            <a:rPr lang="en-US" altLang="zh-CN" sz="1100">
              <a:solidFill>
                <a:schemeClr val="dk1"/>
              </a:solidFill>
              <a:effectLst/>
              <a:latin typeface="+mn-lt"/>
              <a:ea typeface="+mn-ea"/>
              <a:cs typeface="+mn-cs"/>
            </a:rPr>
            <a:t>100</a:t>
          </a:r>
          <a:r>
            <a:rPr lang="zh-CN" altLang="zh-CN" sz="1100">
              <a:solidFill>
                <a:schemeClr val="dk1"/>
              </a:solidFill>
              <a:effectLst/>
              <a:latin typeface="+mn-lt"/>
              <a:ea typeface="+mn-ea"/>
              <a:cs typeface="+mn-cs"/>
            </a:rPr>
            <a:t>变化到</a:t>
          </a:r>
          <a:r>
            <a:rPr lang="en-US" altLang="zh-CN" sz="1100">
              <a:solidFill>
                <a:schemeClr val="dk1"/>
              </a:solidFill>
              <a:effectLst/>
              <a:latin typeface="+mn-lt"/>
              <a:ea typeface="+mn-ea"/>
              <a:cs typeface="+mn-cs"/>
            </a:rPr>
            <a:t>4000</a:t>
          </a:r>
          <a:r>
            <a:rPr lang="zh-CN" altLang="zh-CN" sz="1100">
              <a:solidFill>
                <a:schemeClr val="dk1"/>
              </a:solidFill>
              <a:effectLst/>
              <a:latin typeface="+mn-lt"/>
              <a:ea typeface="+mn-ea"/>
              <a:cs typeface="+mn-cs"/>
            </a:rPr>
            <a:t>；</a:t>
          </a:r>
        </a:p>
        <a:p>
          <a:r>
            <a:rPr lang="en-US" altLang="zh-CN" sz="1100">
              <a:solidFill>
                <a:schemeClr val="dk1"/>
              </a:solidFill>
              <a:effectLst/>
              <a:latin typeface="+mn-lt"/>
              <a:ea typeface="+mn-ea"/>
              <a:cs typeface="+mn-cs"/>
            </a:rPr>
            <a:t>4. </a:t>
          </a:r>
          <a:r>
            <a:rPr lang="zh-CN" altLang="zh-CN" sz="1100">
              <a:solidFill>
                <a:schemeClr val="dk1"/>
              </a:solidFill>
              <a:effectLst/>
              <a:latin typeface="+mn-lt"/>
              <a:ea typeface="+mn-ea"/>
              <a:cs typeface="+mn-cs"/>
            </a:rPr>
            <a:t>在单元格</a:t>
          </a:r>
          <a:r>
            <a:rPr lang="en-US" altLang="zh-CN" sz="1100">
              <a:solidFill>
                <a:schemeClr val="dk1"/>
              </a:solidFill>
              <a:effectLst/>
              <a:latin typeface="+mn-lt"/>
              <a:ea typeface="+mn-ea"/>
              <a:cs typeface="+mn-cs"/>
            </a:rPr>
            <a:t>C14</a:t>
          </a:r>
          <a:r>
            <a:rPr lang="zh-CN" altLang="zh-CN" sz="1100">
              <a:solidFill>
                <a:schemeClr val="dk1"/>
              </a:solidFill>
              <a:effectLst/>
              <a:latin typeface="+mn-lt"/>
              <a:ea typeface="+mn-ea"/>
              <a:cs typeface="+mn-cs"/>
            </a:rPr>
            <a:t>内输入公式，使其可以显示随销量变化的结论文字：“自制”、“外购”或“皆可”。</a:t>
          </a:r>
          <a:endParaRPr lang="zh-CN" altLang="zh-CN">
            <a:effectLst/>
          </a:endParaRPr>
        </a:p>
        <a:p>
          <a:endParaRPr lang="zh-CN" altLang="en-US" sz="1100"/>
        </a:p>
      </xdr:txBody>
    </xdr:sp>
    <xdr:clientData/>
  </xdr:twoCellAnchor>
  <mc:AlternateContent xmlns:mc="http://schemas.openxmlformats.org/markup-compatibility/2006">
    <mc:Choice xmlns:a14="http://schemas.microsoft.com/office/drawing/2010/main" Requires="a14">
      <xdr:twoCellAnchor>
        <xdr:from>
          <xdr:col>10</xdr:col>
          <xdr:colOff>22860</xdr:colOff>
          <xdr:row>2</xdr:row>
          <xdr:rowOff>160020</xdr:rowOff>
        </xdr:from>
        <xdr:to>
          <xdr:col>10</xdr:col>
          <xdr:colOff>579120</xdr:colOff>
          <xdr:row>4</xdr:row>
          <xdr:rowOff>175260</xdr:rowOff>
        </xdr:to>
        <xdr:sp macro="" textlink="">
          <xdr:nvSpPr>
            <xdr:cNvPr id="16385" name="Spinner 1" hidden="1">
              <a:extLst>
                <a:ext uri="{63B3BB69-23CF-44E3-9099-C40C66FF867C}">
                  <a14:compatExt spid="_x0000_s16385"/>
                </a:ext>
                <a:ext uri="{FF2B5EF4-FFF2-40B4-BE49-F238E27FC236}">
                  <a16:creationId xmlns:a16="http://schemas.microsoft.com/office/drawing/2014/main" id="{00000000-0008-0000-04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68580</xdr:colOff>
          <xdr:row>19</xdr:row>
          <xdr:rowOff>30480</xdr:rowOff>
        </xdr:from>
        <xdr:to>
          <xdr:col>10</xdr:col>
          <xdr:colOff>297180</xdr:colOff>
          <xdr:row>21</xdr:row>
          <xdr:rowOff>160020</xdr:rowOff>
        </xdr:to>
        <xdr:sp macro="" textlink="">
          <xdr:nvSpPr>
            <xdr:cNvPr id="16386" name="Spinner 2" hidden="1">
              <a:extLst>
                <a:ext uri="{63B3BB69-23CF-44E3-9099-C40C66FF867C}">
                  <a14:compatExt spid="_x0000_s16386"/>
                </a:ext>
                <a:ext uri="{FF2B5EF4-FFF2-40B4-BE49-F238E27FC236}">
                  <a16:creationId xmlns:a16="http://schemas.microsoft.com/office/drawing/2014/main" id="{00000000-0008-0000-0400-000002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10</xdr:col>
      <xdr:colOff>304799</xdr:colOff>
      <xdr:row>34</xdr:row>
      <xdr:rowOff>85725</xdr:rowOff>
    </xdr:from>
    <xdr:to>
      <xdr:col>17</xdr:col>
      <xdr:colOff>47625</xdr:colOff>
      <xdr:row>52</xdr:row>
      <xdr:rowOff>28576</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7772399" y="6019800"/>
          <a:ext cx="4543426" cy="309562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6</a:t>
          </a:r>
          <a:r>
            <a:rPr lang="zh-CN" altLang="zh-CN" sz="1100" b="1" i="0" baseline="0">
              <a:solidFill>
                <a:schemeClr val="dk1"/>
              </a:solidFill>
              <a:effectLst/>
              <a:latin typeface="+mn-lt"/>
              <a:ea typeface="+mn-ea"/>
              <a:cs typeface="+mn-cs"/>
            </a:rPr>
            <a:t>题 </a:t>
          </a:r>
          <a:r>
            <a:rPr lang="en-US" altLang="zh-CN" sz="1100" b="1"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某投资者有</a:t>
          </a:r>
          <a:r>
            <a:rPr lang="en-US" altLang="zh-CN" sz="1100">
              <a:solidFill>
                <a:schemeClr val="dk1"/>
              </a:solidFill>
              <a:effectLst/>
              <a:latin typeface="+mn-lt"/>
              <a:ea typeface="+mn-ea"/>
              <a:cs typeface="+mn-cs"/>
            </a:rPr>
            <a:t>500</a:t>
          </a:r>
          <a:r>
            <a:rPr lang="zh-CN" altLang="zh-CN" sz="1100">
              <a:solidFill>
                <a:schemeClr val="dk1"/>
              </a:solidFill>
              <a:effectLst/>
              <a:latin typeface="+mn-lt"/>
              <a:ea typeface="+mn-ea"/>
              <a:cs typeface="+mn-cs"/>
            </a:rPr>
            <a:t>万元资金，现有两个投资项目可投资。项目</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是公司债券，项目</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是公司股票。项目</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，初始投入</a:t>
          </a:r>
          <a:r>
            <a:rPr lang="en-US" altLang="zh-CN" sz="1100">
              <a:solidFill>
                <a:schemeClr val="dk1"/>
              </a:solidFill>
              <a:effectLst/>
              <a:latin typeface="+mn-lt"/>
              <a:ea typeface="+mn-ea"/>
              <a:cs typeface="+mn-cs"/>
            </a:rPr>
            <a:t>500</a:t>
          </a:r>
          <a:r>
            <a:rPr lang="zh-CN" altLang="zh-CN" sz="1100">
              <a:solidFill>
                <a:schemeClr val="dk1"/>
              </a:solidFill>
              <a:effectLst/>
              <a:latin typeface="+mn-lt"/>
              <a:ea typeface="+mn-ea"/>
              <a:cs typeface="+mn-cs"/>
            </a:rPr>
            <a:t>万元，根据公司债券规定每年可获得利息</a:t>
          </a:r>
          <a:r>
            <a:rPr lang="en-US" altLang="zh-CN" sz="1100">
              <a:solidFill>
                <a:schemeClr val="dk1"/>
              </a:solidFill>
              <a:effectLst/>
              <a:latin typeface="+mn-lt"/>
              <a:ea typeface="+mn-ea"/>
              <a:cs typeface="+mn-cs"/>
            </a:rPr>
            <a:t>30</a:t>
          </a:r>
          <a:r>
            <a:rPr lang="zh-CN" altLang="zh-CN" sz="1100">
              <a:solidFill>
                <a:schemeClr val="dk1"/>
              </a:solidFill>
              <a:effectLst/>
              <a:latin typeface="+mn-lt"/>
              <a:ea typeface="+mn-ea"/>
              <a:cs typeface="+mn-cs"/>
            </a:rPr>
            <a:t>万元，</a:t>
          </a:r>
          <a:r>
            <a:rPr lang="en-US" altLang="zh-CN" sz="1100">
              <a:solidFill>
                <a:schemeClr val="dk1"/>
              </a:solidFill>
              <a:effectLst/>
              <a:latin typeface="+mn-lt"/>
              <a:ea typeface="+mn-ea"/>
              <a:cs typeface="+mn-cs"/>
            </a:rPr>
            <a:t>10</a:t>
          </a:r>
          <a:r>
            <a:rPr lang="zh-CN" altLang="zh-CN" sz="1100">
              <a:solidFill>
                <a:schemeClr val="dk1"/>
              </a:solidFill>
              <a:effectLst/>
              <a:latin typeface="+mn-lt"/>
              <a:ea typeface="+mn-ea"/>
              <a:cs typeface="+mn-cs"/>
            </a:rPr>
            <a:t>年后该公司债券可兑换</a:t>
          </a:r>
          <a:r>
            <a:rPr lang="en-US" altLang="zh-CN" sz="1100">
              <a:solidFill>
                <a:schemeClr val="dk1"/>
              </a:solidFill>
              <a:effectLst/>
              <a:latin typeface="+mn-lt"/>
              <a:ea typeface="+mn-ea"/>
              <a:cs typeface="+mn-cs"/>
            </a:rPr>
            <a:t>500</a:t>
          </a:r>
          <a:r>
            <a:rPr lang="zh-CN" altLang="zh-CN" sz="1100">
              <a:solidFill>
                <a:schemeClr val="dk1"/>
              </a:solidFill>
              <a:effectLst/>
              <a:latin typeface="+mn-lt"/>
              <a:ea typeface="+mn-ea"/>
              <a:cs typeface="+mn-cs"/>
            </a:rPr>
            <a:t>万元现金；项目</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，初始投入</a:t>
          </a:r>
          <a:r>
            <a:rPr lang="en-US" altLang="zh-CN" sz="1100">
              <a:solidFill>
                <a:schemeClr val="dk1"/>
              </a:solidFill>
              <a:effectLst/>
              <a:latin typeface="+mn-lt"/>
              <a:ea typeface="+mn-ea"/>
              <a:cs typeface="+mn-cs"/>
            </a:rPr>
            <a:t>500</a:t>
          </a:r>
          <a:r>
            <a:rPr lang="zh-CN" altLang="zh-CN" sz="1100">
              <a:solidFill>
                <a:schemeClr val="dk1"/>
              </a:solidFill>
              <a:effectLst/>
              <a:latin typeface="+mn-lt"/>
              <a:ea typeface="+mn-ea"/>
              <a:cs typeface="+mn-cs"/>
            </a:rPr>
            <a:t>万元，根据预测该项目第</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年可获得</a:t>
          </a:r>
          <a:r>
            <a:rPr lang="en-US" altLang="zh-CN" sz="1100">
              <a:solidFill>
                <a:schemeClr val="dk1"/>
              </a:solidFill>
              <a:effectLst/>
              <a:latin typeface="+mn-lt"/>
              <a:ea typeface="+mn-ea"/>
              <a:cs typeface="+mn-cs"/>
            </a:rPr>
            <a:t>20</a:t>
          </a:r>
          <a:r>
            <a:rPr lang="zh-CN" altLang="zh-CN" sz="1100">
              <a:solidFill>
                <a:schemeClr val="dk1"/>
              </a:solidFill>
              <a:effectLst/>
              <a:latin typeface="+mn-lt"/>
              <a:ea typeface="+mn-ea"/>
              <a:cs typeface="+mn-cs"/>
            </a:rPr>
            <a:t>万元的收益，以后每年的收益在上年基础上递增</a:t>
          </a:r>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10</a:t>
          </a:r>
          <a:r>
            <a:rPr lang="zh-CN" altLang="zh-CN" sz="1100">
              <a:solidFill>
                <a:schemeClr val="dk1"/>
              </a:solidFill>
              <a:effectLst/>
              <a:latin typeface="+mn-lt"/>
              <a:ea typeface="+mn-ea"/>
              <a:cs typeface="+mn-cs"/>
            </a:rPr>
            <a:t>年后该公司股票的市场价值约为</a:t>
          </a:r>
          <a:r>
            <a:rPr lang="en-US" altLang="zh-CN" sz="1100">
              <a:solidFill>
                <a:schemeClr val="dk1"/>
              </a:solidFill>
              <a:effectLst/>
              <a:latin typeface="+mn-lt"/>
              <a:ea typeface="+mn-ea"/>
              <a:cs typeface="+mn-cs"/>
            </a:rPr>
            <a:t>600</a:t>
          </a:r>
          <a:r>
            <a:rPr lang="zh-CN" altLang="zh-CN" sz="1100">
              <a:solidFill>
                <a:schemeClr val="dk1"/>
              </a:solidFill>
              <a:effectLst/>
              <a:latin typeface="+mn-lt"/>
              <a:ea typeface="+mn-ea"/>
              <a:cs typeface="+mn-cs"/>
            </a:rPr>
            <a:t>万元。假定贴现率为</a:t>
          </a:r>
          <a:r>
            <a:rPr lang="en-US" altLang="zh-CN" sz="1100">
              <a:solidFill>
                <a:schemeClr val="dk1"/>
              </a:solidFill>
              <a:effectLst/>
              <a:latin typeface="+mn-lt"/>
              <a:ea typeface="+mn-ea"/>
              <a:cs typeface="+mn-cs"/>
            </a:rPr>
            <a:t>6%</a:t>
          </a:r>
          <a:r>
            <a:rPr lang="zh-CN" altLang="zh-CN" sz="1100">
              <a:solidFill>
                <a:schemeClr val="dk1"/>
              </a:solidFill>
              <a:effectLst/>
              <a:latin typeface="+mn-lt"/>
              <a:ea typeface="+mn-ea"/>
              <a:cs typeface="+mn-cs"/>
            </a:rPr>
            <a:t>，要求：</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在本工作表中建立对两个项目进行比较的模型。在两个并列的单元格中分别求出每个投资项目的净现值。在一个单元格中利用</a:t>
          </a:r>
          <a:r>
            <a:rPr lang="en-US" altLang="zh-CN" sz="1100">
              <a:solidFill>
                <a:schemeClr val="dk1"/>
              </a:solidFill>
              <a:effectLst/>
              <a:latin typeface="+mn-lt"/>
              <a:ea typeface="+mn-ea"/>
              <a:cs typeface="+mn-cs"/>
            </a:rPr>
            <a:t>IF()</a:t>
          </a:r>
          <a:r>
            <a:rPr lang="zh-CN" altLang="zh-CN" sz="1100">
              <a:solidFill>
                <a:schemeClr val="dk1"/>
              </a:solidFill>
              <a:effectLst/>
              <a:latin typeface="+mn-lt"/>
              <a:ea typeface="+mn-ea"/>
              <a:cs typeface="+mn-cs"/>
            </a:rPr>
            <a:t>函数给出“项目</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较优”或“项目</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较优”的结论；</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将上述模型加以扩充，在两个并列的单元格中分别求出各项目的内部报酬率；</a:t>
          </a: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使用一个</a:t>
          </a:r>
          <a:r>
            <a:rPr lang="en-US" altLang="zh-CN" sz="1100">
              <a:solidFill>
                <a:schemeClr val="dk1"/>
              </a:solidFill>
              <a:effectLst/>
              <a:latin typeface="+mn-lt"/>
              <a:ea typeface="+mn-ea"/>
              <a:cs typeface="+mn-cs"/>
            </a:rPr>
            <a:t>Excel</a:t>
          </a:r>
          <a:r>
            <a:rPr lang="zh-CN" altLang="zh-CN" sz="1100">
              <a:solidFill>
                <a:schemeClr val="dk1"/>
              </a:solidFill>
              <a:effectLst/>
              <a:latin typeface="+mn-lt"/>
              <a:ea typeface="+mn-ea"/>
              <a:cs typeface="+mn-cs"/>
            </a:rPr>
            <a:t>内建函数求出使项目</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和项目</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的净现值相等的贴现率；</a:t>
          </a:r>
        </a:p>
        <a:p>
          <a:r>
            <a:rPr lang="en-US" altLang="zh-CN" sz="1100">
              <a:solidFill>
                <a:schemeClr val="dk1"/>
              </a:solidFill>
              <a:effectLst/>
              <a:latin typeface="+mn-lt"/>
              <a:ea typeface="+mn-ea"/>
              <a:cs typeface="+mn-cs"/>
            </a:rPr>
            <a:t>4. </a:t>
          </a:r>
          <a:r>
            <a:rPr lang="zh-CN" altLang="zh-CN" sz="1100">
              <a:solidFill>
                <a:schemeClr val="dk1"/>
              </a:solidFill>
              <a:effectLst/>
              <a:latin typeface="+mn-lt"/>
              <a:ea typeface="+mn-ea"/>
              <a:cs typeface="+mn-cs"/>
            </a:rPr>
            <a:t>利用模拟运算表生成自变量</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函数对照表，用查表加内插的方法再次求出使</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两个项目的净现值相等的贴现率（贴现率的变化范围为</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15%</a:t>
          </a:r>
          <a:r>
            <a:rPr lang="zh-CN" altLang="zh-CN" sz="1100">
              <a:solidFill>
                <a:schemeClr val="dk1"/>
              </a:solidFill>
              <a:effectLst/>
              <a:latin typeface="+mn-lt"/>
              <a:ea typeface="+mn-ea"/>
              <a:cs typeface="+mn-cs"/>
            </a:rPr>
            <a:t>，间隔为</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371475</xdr:colOff>
      <xdr:row>37</xdr:row>
      <xdr:rowOff>79090</xdr:rowOff>
    </xdr:from>
    <xdr:to>
      <xdr:col>20</xdr:col>
      <xdr:colOff>361950</xdr:colOff>
      <xdr:row>40</xdr:row>
      <xdr:rowOff>35717</xdr:rowOff>
    </xdr:to>
    <xdr:pic>
      <xdr:nvPicPr>
        <xdr:cNvPr id="2" name="Picture 7">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44275" y="7409530"/>
          <a:ext cx="2733675" cy="550987"/>
        </a:xfrm>
        <a:prstGeom prst="rect">
          <a:avLst/>
        </a:prstGeom>
        <a:solidFill>
          <a:srgbClr xmlns:mc="http://schemas.openxmlformats.org/markup-compatibility/2006" xmlns:a14="http://schemas.microsoft.com/office/drawing/2010/main" val="CCFFFF" mc:Ignorable="a14" a14:legacySpreadsheetColorIndex="41"/>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13</xdr:col>
      <xdr:colOff>581025</xdr:colOff>
      <xdr:row>52</xdr:row>
      <xdr:rowOff>38099</xdr:rowOff>
    </xdr:from>
    <xdr:to>
      <xdr:col>20</xdr:col>
      <xdr:colOff>114300</xdr:colOff>
      <xdr:row>65</xdr:row>
      <xdr:rowOff>57150</xdr:rowOff>
    </xdr:to>
    <xdr:sp macro="" textlink="">
      <xdr:nvSpPr>
        <xdr:cNvPr id="3" name="TextBox 4">
          <a:extLst>
            <a:ext uri="{FF2B5EF4-FFF2-40B4-BE49-F238E27FC236}">
              <a16:creationId xmlns:a16="http://schemas.microsoft.com/office/drawing/2014/main" id="{00000000-0008-0000-0600-000003000000}"/>
            </a:ext>
          </a:extLst>
        </xdr:cNvPr>
        <xdr:cNvSpPr txBox="1"/>
      </xdr:nvSpPr>
      <xdr:spPr>
        <a:xfrm>
          <a:off x="6305550" y="2781299"/>
          <a:ext cx="4333875" cy="2419351"/>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7</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某企业计划生产一种新产品。销售人员预测的销售单价及其概率如下表所示。生产该产品的固定成本为</a:t>
          </a:r>
          <a:r>
            <a:rPr lang="en-US" altLang="zh-CN" sz="1100">
              <a:solidFill>
                <a:schemeClr val="dk1"/>
              </a:solidFill>
              <a:effectLst/>
              <a:latin typeface="+mn-lt"/>
              <a:ea typeface="+mn-ea"/>
              <a:cs typeface="+mn-cs"/>
            </a:rPr>
            <a:t>300</a:t>
          </a:r>
          <a:r>
            <a:rPr lang="zh-CN" altLang="zh-CN" sz="1100">
              <a:solidFill>
                <a:schemeClr val="dk1"/>
              </a:solidFill>
              <a:effectLst/>
              <a:latin typeface="+mn-lt"/>
              <a:ea typeface="+mn-ea"/>
              <a:cs typeface="+mn-cs"/>
            </a:rPr>
            <a:t>元，单位变动成本存在一定的随机性，可能为</a:t>
          </a:r>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元、</a:t>
          </a:r>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元或</a:t>
          </a:r>
          <a:r>
            <a:rPr lang="en-US" altLang="zh-CN" sz="1100">
              <a:solidFill>
                <a:schemeClr val="dk1"/>
              </a:solidFill>
              <a:effectLst/>
              <a:latin typeface="+mn-lt"/>
              <a:ea typeface="+mn-ea"/>
              <a:cs typeface="+mn-cs"/>
            </a:rPr>
            <a:t>4</a:t>
          </a:r>
          <a:r>
            <a:rPr lang="zh-CN" altLang="zh-CN" sz="1100">
              <a:solidFill>
                <a:schemeClr val="dk1"/>
              </a:solidFill>
              <a:effectLst/>
              <a:latin typeface="+mn-lt"/>
              <a:ea typeface="+mn-ea"/>
              <a:cs typeface="+mn-cs"/>
            </a:rPr>
            <a:t>元，出现这三种情况的可能性相同。销售数量服从均值</a:t>
          </a:r>
          <a:r>
            <a:rPr lang="en-US" altLang="zh-CN" sz="1100">
              <a:solidFill>
                <a:schemeClr val="dk1"/>
              </a:solidFill>
              <a:effectLst/>
              <a:latin typeface="+mn-lt"/>
              <a:ea typeface="+mn-ea"/>
              <a:cs typeface="+mn-cs"/>
            </a:rPr>
            <a:t>100</a:t>
          </a:r>
          <a:r>
            <a:rPr lang="zh-CN" altLang="zh-CN" sz="1100">
              <a:solidFill>
                <a:schemeClr val="dk1"/>
              </a:solidFill>
              <a:effectLst/>
              <a:latin typeface="+mn-lt"/>
              <a:ea typeface="+mn-ea"/>
              <a:cs typeface="+mn-cs"/>
            </a:rPr>
            <a:t>、标准差为</a:t>
          </a:r>
          <a:r>
            <a:rPr lang="en-US" altLang="zh-CN" sz="1100">
              <a:solidFill>
                <a:schemeClr val="dk1"/>
              </a:solidFill>
              <a:effectLst/>
              <a:latin typeface="+mn-lt"/>
              <a:ea typeface="+mn-ea"/>
              <a:cs typeface="+mn-cs"/>
            </a:rPr>
            <a:t>20</a:t>
          </a:r>
          <a:r>
            <a:rPr lang="zh-CN" altLang="zh-CN" sz="1100">
              <a:solidFill>
                <a:schemeClr val="dk1"/>
              </a:solidFill>
              <a:effectLst/>
              <a:latin typeface="+mn-lt"/>
              <a:ea typeface="+mn-ea"/>
              <a:cs typeface="+mn-cs"/>
            </a:rPr>
            <a:t>的正态分布。</a:t>
          </a:r>
        </a:p>
        <a:p>
          <a:r>
            <a:rPr lang="zh-CN" altLang="zh-CN" sz="1100">
              <a:solidFill>
                <a:schemeClr val="dk1"/>
              </a:solidFill>
              <a:effectLst/>
              <a:latin typeface="+mn-lt"/>
              <a:ea typeface="+mn-ea"/>
              <a:cs typeface="+mn-cs"/>
            </a:rPr>
            <a:t>要求：</a:t>
          </a:r>
        </a:p>
        <a:p>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．建立该产品的随机利润模型；</a:t>
          </a:r>
        </a:p>
        <a:p>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．进行</a:t>
          </a:r>
          <a:r>
            <a:rPr lang="en-US" altLang="zh-CN" sz="1100">
              <a:solidFill>
                <a:schemeClr val="dk1"/>
              </a:solidFill>
              <a:effectLst/>
              <a:latin typeface="+mn-lt"/>
              <a:ea typeface="+mn-ea"/>
              <a:cs typeface="+mn-cs"/>
            </a:rPr>
            <a:t>50</a:t>
          </a:r>
          <a:r>
            <a:rPr lang="zh-CN" altLang="zh-CN" sz="1100">
              <a:solidFill>
                <a:schemeClr val="dk1"/>
              </a:solidFill>
              <a:effectLst/>
              <a:latin typeface="+mn-lt"/>
              <a:ea typeface="+mn-ea"/>
              <a:cs typeface="+mn-cs"/>
            </a:rPr>
            <a:t>次模拟，计算产品利润；</a:t>
          </a:r>
        </a:p>
        <a:p>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．求出</a:t>
          </a:r>
          <a:r>
            <a:rPr lang="en-US" altLang="zh-CN" sz="1100">
              <a:solidFill>
                <a:schemeClr val="dk1"/>
              </a:solidFill>
              <a:effectLst/>
              <a:latin typeface="+mn-lt"/>
              <a:ea typeface="+mn-ea"/>
              <a:cs typeface="+mn-cs"/>
            </a:rPr>
            <a:t>50</a:t>
          </a:r>
          <a:r>
            <a:rPr lang="zh-CN" altLang="zh-CN" sz="1100">
              <a:solidFill>
                <a:schemeClr val="dk1"/>
              </a:solidFill>
              <a:effectLst/>
              <a:latin typeface="+mn-lt"/>
              <a:ea typeface="+mn-ea"/>
              <a:cs typeface="+mn-cs"/>
            </a:rPr>
            <a:t>次模拟的最大利润、最小利润和平均利润，统计发生亏损的概率。</a:t>
          </a:r>
        </a:p>
        <a:p>
          <a:endParaRPr lang="zh-CN" altLang="en-US" sz="1100"/>
        </a:p>
      </xdr:txBody>
    </xdr:sp>
    <xdr:clientData/>
  </xdr:twoCellAnchor>
  <xdr:oneCellAnchor>
    <xdr:from>
      <xdr:col>15</xdr:col>
      <xdr:colOff>337377</xdr:colOff>
      <xdr:row>61</xdr:row>
      <xdr:rowOff>51307</xdr:rowOff>
    </xdr:from>
    <xdr:ext cx="1876425" cy="558165"/>
    <xdr:pic>
      <xdr:nvPicPr>
        <xdr:cNvPr id="4" name="图片 3">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33502" y="4509007"/>
          <a:ext cx="1876425" cy="55816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34"/>
  <sheetViews>
    <sheetView showGridLines="0" tabSelected="1" topLeftCell="J7" zoomScale="85" zoomScaleNormal="85" workbookViewId="0">
      <selection activeCell="L34" sqref="L34"/>
    </sheetView>
  </sheetViews>
  <sheetFormatPr defaultColWidth="9" defaultRowHeight="15.6" x14ac:dyDescent="0.25"/>
  <cols>
    <col min="1" max="1" width="2.5" style="8" customWidth="1"/>
    <col min="2" max="2" width="4.09765625" style="8" customWidth="1"/>
    <col min="3" max="3" width="11.5" style="8" bestFit="1" customWidth="1"/>
    <col min="4" max="4" width="8" style="8" customWidth="1"/>
    <col min="5" max="5" width="12.09765625" style="8" customWidth="1"/>
    <col min="6" max="7" width="12.5" style="8" customWidth="1"/>
    <col min="8" max="8" width="2.5" style="8" customWidth="1"/>
    <col min="9" max="9" width="4.5" style="8" customWidth="1"/>
    <col min="10" max="10" width="20.09765625" style="8" customWidth="1"/>
    <col min="11" max="11" width="19.59765625" style="8" customWidth="1"/>
    <col min="12" max="12" width="18.19921875" customWidth="1"/>
    <col min="13" max="13" width="9.09765625" customWidth="1"/>
    <col min="14" max="14" width="8.59765625" customWidth="1"/>
    <col min="15" max="15" width="8.19921875" customWidth="1"/>
    <col min="16" max="16" width="8.59765625" customWidth="1"/>
    <col min="17" max="17" width="13" customWidth="1"/>
    <col min="18" max="18" width="8.69921875" customWidth="1"/>
    <col min="21" max="21" width="2.19921875" style="8" customWidth="1"/>
    <col min="22" max="16384" width="9" style="8"/>
  </cols>
  <sheetData>
    <row r="1" spans="2:19" ht="28.5" customHeight="1" x14ac:dyDescent="0.25">
      <c r="B1" s="18" t="s">
        <v>49</v>
      </c>
      <c r="C1" s="89" t="s">
        <v>50</v>
      </c>
      <c r="D1" s="18" t="s">
        <v>51</v>
      </c>
      <c r="E1" s="23" t="s">
        <v>52</v>
      </c>
      <c r="F1" s="19" t="s">
        <v>53</v>
      </c>
      <c r="G1" s="19" t="s">
        <v>54</v>
      </c>
      <c r="H1" s="7"/>
      <c r="K1" t="s">
        <v>114</v>
      </c>
    </row>
    <row r="2" spans="2:19" ht="16.2" thickBot="1" x14ac:dyDescent="0.3">
      <c r="B2" s="79">
        <v>1</v>
      </c>
      <c r="C2" s="20" t="s">
        <v>91</v>
      </c>
      <c r="D2" s="85">
        <v>3100200</v>
      </c>
      <c r="E2" s="28">
        <f>$J$3+$J$4*B2</f>
        <v>3004177.6323529412</v>
      </c>
      <c r="F2" s="28">
        <f>$J$7+$J$8*B2</f>
        <v>3004177.5917323218</v>
      </c>
      <c r="G2" s="28">
        <f>$J$12+$J$13*B2</f>
        <v>3004177.6323529407</v>
      </c>
      <c r="H2" s="7"/>
      <c r="I2" s="9" t="s">
        <v>55</v>
      </c>
      <c r="J2" s="10"/>
      <c r="K2"/>
    </row>
    <row r="3" spans="2:19" x14ac:dyDescent="0.25">
      <c r="B3" s="80">
        <v>2</v>
      </c>
      <c r="C3" s="21" t="s">
        <v>92</v>
      </c>
      <c r="D3" s="86">
        <v>3100511</v>
      </c>
      <c r="E3" s="28">
        <f t="shared" ref="E3:E20" si="0">$J$3+$J$4*B3</f>
        <v>3094363.5647058827</v>
      </c>
      <c r="F3" s="28">
        <f>$J$7+$J$8*B3</f>
        <v>3094363.488099399</v>
      </c>
      <c r="G3" s="28">
        <f t="shared" ref="G3:G20" si="1">$J$12+$J$13*B3</f>
        <v>3094363.5647058822</v>
      </c>
      <c r="H3" s="7"/>
      <c r="I3" s="24" t="s">
        <v>56</v>
      </c>
      <c r="J3" s="26">
        <f>INTERCEPT(D2:D17,B2:B17)</f>
        <v>2913991.7</v>
      </c>
      <c r="K3" s="143" t="s">
        <v>115</v>
      </c>
      <c r="L3" s="143"/>
    </row>
    <row r="4" spans="2:19" x14ac:dyDescent="0.25">
      <c r="B4" s="80">
        <v>3</v>
      </c>
      <c r="C4" s="21" t="s">
        <v>93</v>
      </c>
      <c r="D4" s="86">
        <v>3287812</v>
      </c>
      <c r="E4" s="28">
        <f t="shared" si="0"/>
        <v>3184549.4970588237</v>
      </c>
      <c r="F4" s="28">
        <f t="shared" ref="F4:F20" si="2">$J$7+$J$8*B4</f>
        <v>3184549.3844664767</v>
      </c>
      <c r="G4" s="28">
        <f t="shared" si="1"/>
        <v>3184549.4970588232</v>
      </c>
      <c r="H4" s="7"/>
      <c r="I4" s="25" t="s">
        <v>57</v>
      </c>
      <c r="J4" s="27">
        <f>SLOPE(D2:D17,B2:B17)</f>
        <v>90185.932352941178</v>
      </c>
      <c r="K4" s="140" t="s">
        <v>116</v>
      </c>
      <c r="L4" s="140">
        <v>0.94461699082575479</v>
      </c>
    </row>
    <row r="5" spans="2:19" x14ac:dyDescent="0.25">
      <c r="B5" s="80">
        <v>4</v>
      </c>
      <c r="C5" s="21" t="s">
        <v>94</v>
      </c>
      <c r="D5" s="86">
        <v>3432214</v>
      </c>
      <c r="E5" s="28">
        <f t="shared" si="0"/>
        <v>3274735.4294117647</v>
      </c>
      <c r="F5" s="28">
        <f t="shared" si="2"/>
        <v>3274735.2808335545</v>
      </c>
      <c r="G5" s="28">
        <f t="shared" si="1"/>
        <v>3274735.4294117647</v>
      </c>
      <c r="H5" s="7"/>
      <c r="I5" s="7"/>
      <c r="J5" s="7"/>
      <c r="K5" s="140" t="s">
        <v>117</v>
      </c>
      <c r="L5" s="140">
        <v>0.89230125935670401</v>
      </c>
    </row>
    <row r="6" spans="2:19" x14ac:dyDescent="0.25">
      <c r="B6" s="80">
        <v>5</v>
      </c>
      <c r="C6" s="21" t="s">
        <v>95</v>
      </c>
      <c r="D6" s="86">
        <v>3001288</v>
      </c>
      <c r="E6" s="28">
        <f t="shared" si="0"/>
        <v>3364921.3617647062</v>
      </c>
      <c r="F6" s="28">
        <f t="shared" si="2"/>
        <v>3364921.1772006317</v>
      </c>
      <c r="G6" s="28">
        <f t="shared" si="1"/>
        <v>3364921.3617647057</v>
      </c>
      <c r="H6" s="7"/>
      <c r="I6" s="9" t="s">
        <v>58</v>
      </c>
      <c r="J6" s="11"/>
      <c r="K6" s="140" t="s">
        <v>118</v>
      </c>
      <c r="L6" s="140">
        <v>0.88460849216789705</v>
      </c>
    </row>
    <row r="7" spans="2:19" x14ac:dyDescent="0.25">
      <c r="B7" s="80">
        <v>6</v>
      </c>
      <c r="C7" s="21" t="s">
        <v>96</v>
      </c>
      <c r="D7" s="86">
        <v>3445440</v>
      </c>
      <c r="E7" s="28">
        <f t="shared" si="0"/>
        <v>3455107.2941176472</v>
      </c>
      <c r="F7" s="28">
        <f t="shared" si="2"/>
        <v>3455107.0735677094</v>
      </c>
      <c r="G7" s="28">
        <f t="shared" si="1"/>
        <v>3455107.2941176472</v>
      </c>
      <c r="H7" s="7"/>
      <c r="I7" s="24" t="s">
        <v>59</v>
      </c>
      <c r="J7" s="26">
        <v>2913991.6953652441</v>
      </c>
      <c r="K7" s="140" t="s">
        <v>119</v>
      </c>
      <c r="L7" s="140">
        <v>154405.86746905377</v>
      </c>
    </row>
    <row r="8" spans="2:19" ht="16.2" thickBot="1" x14ac:dyDescent="0.3">
      <c r="B8" s="80">
        <v>7</v>
      </c>
      <c r="C8" s="21" t="s">
        <v>97</v>
      </c>
      <c r="D8" s="87">
        <v>3470037</v>
      </c>
      <c r="E8" s="28">
        <f t="shared" si="0"/>
        <v>3545293.2264705887</v>
      </c>
      <c r="F8" s="28">
        <f t="shared" si="2"/>
        <v>3545292.9699347867</v>
      </c>
      <c r="G8" s="28">
        <f t="shared" si="1"/>
        <v>3545293.2264705882</v>
      </c>
      <c r="H8" s="7"/>
      <c r="I8" s="25" t="s">
        <v>57</v>
      </c>
      <c r="J8" s="27">
        <v>90185.896367077556</v>
      </c>
      <c r="K8" s="141" t="s">
        <v>120</v>
      </c>
      <c r="L8" s="141">
        <v>16</v>
      </c>
    </row>
    <row r="9" spans="2:19" x14ac:dyDescent="0.25">
      <c r="B9" s="80">
        <v>8</v>
      </c>
      <c r="C9" s="21" t="s">
        <v>98</v>
      </c>
      <c r="D9" s="87">
        <v>3532913</v>
      </c>
      <c r="E9" s="28">
        <f t="shared" si="0"/>
        <v>3635479.1588235297</v>
      </c>
      <c r="F9" s="28">
        <f t="shared" si="2"/>
        <v>3635478.8663018644</v>
      </c>
      <c r="G9" s="28">
        <f t="shared" si="1"/>
        <v>3635479.1588235293</v>
      </c>
      <c r="H9" s="7"/>
      <c r="I9" s="25" t="s">
        <v>60</v>
      </c>
      <c r="J9" s="27">
        <f>SUMXMY2(D2:D17,F2:F17)/COUNT(D2:D17)</f>
        <v>20861025420.386036</v>
      </c>
      <c r="K9"/>
    </row>
    <row r="10" spans="2:19" ht="16.2" thickBot="1" x14ac:dyDescent="0.3">
      <c r="B10" s="80">
        <v>9</v>
      </c>
      <c r="C10" s="21" t="s">
        <v>99</v>
      </c>
      <c r="D10" s="87">
        <v>3684112</v>
      </c>
      <c r="E10" s="28">
        <f t="shared" si="0"/>
        <v>3725665.0911764707</v>
      </c>
      <c r="F10" s="28">
        <f t="shared" si="2"/>
        <v>3725664.7626689421</v>
      </c>
      <c r="G10" s="28">
        <f t="shared" si="1"/>
        <v>3725665.0911764707</v>
      </c>
      <c r="H10" s="7"/>
      <c r="I10" s="12"/>
      <c r="J10" s="12"/>
      <c r="K10" t="s">
        <v>121</v>
      </c>
    </row>
    <row r="11" spans="2:19" x14ac:dyDescent="0.25">
      <c r="B11" s="80">
        <v>10</v>
      </c>
      <c r="C11" s="21" t="s">
        <v>100</v>
      </c>
      <c r="D11" s="87">
        <v>3975141</v>
      </c>
      <c r="E11" s="28">
        <f t="shared" si="0"/>
        <v>3815851.0235294122</v>
      </c>
      <c r="F11" s="28">
        <f t="shared" si="2"/>
        <v>3815850.6590360198</v>
      </c>
      <c r="G11" s="28">
        <f t="shared" si="1"/>
        <v>3815851.0235294122</v>
      </c>
      <c r="H11" s="7"/>
      <c r="I11" s="9" t="s">
        <v>61</v>
      </c>
      <c r="J11" s="11"/>
      <c r="K11" s="142"/>
      <c r="L11" s="142" t="s">
        <v>126</v>
      </c>
      <c r="M11" s="142" t="s">
        <v>127</v>
      </c>
      <c r="N11" s="142" t="s">
        <v>128</v>
      </c>
      <c r="O11" s="142" t="s">
        <v>129</v>
      </c>
      <c r="P11" s="142" t="s">
        <v>130</v>
      </c>
    </row>
    <row r="12" spans="2:19" x14ac:dyDescent="0.25">
      <c r="B12" s="80">
        <v>11</v>
      </c>
      <c r="C12" s="21" t="s">
        <v>101</v>
      </c>
      <c r="D12" s="87">
        <v>4020094</v>
      </c>
      <c r="E12" s="28">
        <f t="shared" si="0"/>
        <v>3906036.9558823532</v>
      </c>
      <c r="F12" s="28">
        <f t="shared" si="2"/>
        <v>3906036.5554030971</v>
      </c>
      <c r="G12" s="28">
        <f t="shared" si="1"/>
        <v>3906036.9558823532</v>
      </c>
      <c r="H12" s="7"/>
      <c r="I12" s="24" t="s">
        <v>59</v>
      </c>
      <c r="J12" s="26">
        <f>L17</f>
        <v>2913991.6999999997</v>
      </c>
      <c r="K12" s="140" t="s">
        <v>122</v>
      </c>
      <c r="L12" s="140">
        <v>1</v>
      </c>
      <c r="M12" s="140">
        <v>2765390814085.5562</v>
      </c>
      <c r="N12" s="140">
        <v>2765390814085.5562</v>
      </c>
      <c r="O12" s="140">
        <v>115.99223497300436</v>
      </c>
      <c r="P12" s="140">
        <v>3.6993196960458608E-8</v>
      </c>
    </row>
    <row r="13" spans="2:19" x14ac:dyDescent="0.25">
      <c r="B13" s="80">
        <v>12</v>
      </c>
      <c r="C13" s="21" t="s">
        <v>102</v>
      </c>
      <c r="D13" s="87">
        <v>4086484</v>
      </c>
      <c r="E13" s="28">
        <f t="shared" si="0"/>
        <v>3996222.8882352943</v>
      </c>
      <c r="F13" s="28">
        <f t="shared" si="2"/>
        <v>3996222.4517701748</v>
      </c>
      <c r="G13" s="28">
        <f t="shared" si="1"/>
        <v>3996222.8882352943</v>
      </c>
      <c r="H13" s="7"/>
      <c r="I13" s="25" t="s">
        <v>62</v>
      </c>
      <c r="J13" s="27">
        <f>L18</f>
        <v>90185.932352941221</v>
      </c>
      <c r="K13" s="140" t="s">
        <v>123</v>
      </c>
      <c r="L13" s="140">
        <v>14</v>
      </c>
      <c r="M13" s="140">
        <v>333776406724.19403</v>
      </c>
      <c r="N13" s="140">
        <v>23841171908.871002</v>
      </c>
      <c r="O13" s="140"/>
      <c r="P13" s="140"/>
    </row>
    <row r="14" spans="2:19" ht="16.2" thickBot="1" x14ac:dyDescent="0.3">
      <c r="B14" s="80">
        <v>13</v>
      </c>
      <c r="C14" s="21" t="s">
        <v>103</v>
      </c>
      <c r="D14" s="87">
        <v>3970172</v>
      </c>
      <c r="E14" s="28">
        <f t="shared" si="0"/>
        <v>4086408.8205882357</v>
      </c>
      <c r="F14" s="28">
        <f t="shared" si="2"/>
        <v>4086408.348137252</v>
      </c>
      <c r="G14" s="28">
        <f t="shared" si="1"/>
        <v>4086408.8205882357</v>
      </c>
      <c r="H14" s="7"/>
      <c r="I14" s="7"/>
      <c r="J14" s="7"/>
      <c r="K14" s="141" t="s">
        <v>124</v>
      </c>
      <c r="L14" s="141">
        <v>15</v>
      </c>
      <c r="M14" s="141">
        <v>3099167220809.75</v>
      </c>
      <c r="N14" s="141"/>
      <c r="O14" s="141"/>
      <c r="P14" s="141"/>
    </row>
    <row r="15" spans="2:19" ht="16.2" thickBot="1" x14ac:dyDescent="0.3">
      <c r="B15" s="80">
        <v>14</v>
      </c>
      <c r="C15" s="21" t="s">
        <v>104</v>
      </c>
      <c r="D15" s="87">
        <v>3987141</v>
      </c>
      <c r="E15" s="28">
        <f t="shared" si="0"/>
        <v>4176594.7529411768</v>
      </c>
      <c r="F15" s="28">
        <f t="shared" si="2"/>
        <v>4176594.2445043297</v>
      </c>
      <c r="G15" s="28">
        <f t="shared" si="1"/>
        <v>4176594.7529411768</v>
      </c>
      <c r="H15" s="7"/>
      <c r="I15" s="7"/>
      <c r="J15" s="7"/>
      <c r="K15"/>
    </row>
    <row r="16" spans="2:19" x14ac:dyDescent="0.25">
      <c r="B16" s="80">
        <v>15</v>
      </c>
      <c r="C16" s="21" t="s">
        <v>105</v>
      </c>
      <c r="D16" s="87">
        <v>4234121</v>
      </c>
      <c r="E16" s="28">
        <f t="shared" si="0"/>
        <v>4266780.6852941178</v>
      </c>
      <c r="F16" s="28">
        <f t="shared" si="2"/>
        <v>4266780.1408714075</v>
      </c>
      <c r="G16" s="28">
        <f t="shared" si="1"/>
        <v>4266780.6852941178</v>
      </c>
      <c r="H16" s="7"/>
      <c r="I16" s="7"/>
      <c r="J16" s="7"/>
      <c r="K16" s="142"/>
      <c r="L16" s="142" t="s">
        <v>131</v>
      </c>
      <c r="M16" s="142" t="s">
        <v>119</v>
      </c>
      <c r="N16" s="142" t="s">
        <v>132</v>
      </c>
      <c r="O16" s="142" t="s">
        <v>133</v>
      </c>
      <c r="P16" s="142" t="s">
        <v>134</v>
      </c>
      <c r="Q16" s="142" t="s">
        <v>135</v>
      </c>
      <c r="R16" s="142" t="s">
        <v>136</v>
      </c>
      <c r="S16" s="142" t="s">
        <v>137</v>
      </c>
    </row>
    <row r="17" spans="2:19" x14ac:dyDescent="0.25">
      <c r="B17" s="81">
        <v>16</v>
      </c>
      <c r="C17" s="22" t="s">
        <v>106</v>
      </c>
      <c r="D17" s="88">
        <v>4561474</v>
      </c>
      <c r="E17" s="28">
        <f t="shared" si="0"/>
        <v>4356966.6176470593</v>
      </c>
      <c r="F17" s="28">
        <f t="shared" si="2"/>
        <v>4356966.0372384852</v>
      </c>
      <c r="G17" s="28">
        <f t="shared" si="1"/>
        <v>4356966.6176470593</v>
      </c>
      <c r="H17" s="7"/>
      <c r="I17" s="7"/>
      <c r="J17" s="7"/>
      <c r="K17" s="140" t="s">
        <v>125</v>
      </c>
      <c r="L17" s="140">
        <v>2913991.6999999997</v>
      </c>
      <c r="M17" s="140">
        <v>80971.12000546568</v>
      </c>
      <c r="N17" s="140">
        <v>35.988037460804549</v>
      </c>
      <c r="O17" s="140">
        <v>3.3663970821580341E-15</v>
      </c>
      <c r="P17" s="140">
        <v>2740325.919706482</v>
      </c>
      <c r="Q17" s="140">
        <v>3087657.4802935175</v>
      </c>
      <c r="R17" s="140">
        <v>2740325.919706482</v>
      </c>
      <c r="S17" s="140">
        <v>3087657.4802935175</v>
      </c>
    </row>
    <row r="18" spans="2:19" ht="16.2" thickBot="1" x14ac:dyDescent="0.3">
      <c r="B18" s="82">
        <v>17</v>
      </c>
      <c r="C18" s="90" t="s">
        <v>107</v>
      </c>
      <c r="D18" s="7"/>
      <c r="E18" s="28">
        <f t="shared" si="0"/>
        <v>4447152.5500000007</v>
      </c>
      <c r="F18" s="28">
        <f t="shared" si="2"/>
        <v>4447151.9336055629</v>
      </c>
      <c r="G18" s="28">
        <f t="shared" si="1"/>
        <v>4447152.5500000007</v>
      </c>
      <c r="H18" s="7"/>
      <c r="I18" s="7"/>
      <c r="J18" s="7"/>
      <c r="K18" s="141" t="s">
        <v>138</v>
      </c>
      <c r="L18" s="141">
        <v>90185.932352941221</v>
      </c>
      <c r="M18" s="141">
        <v>8373.8338799871472</v>
      </c>
      <c r="N18" s="141">
        <v>10.769969125907672</v>
      </c>
      <c r="O18" s="141">
        <v>3.699319696045841E-8</v>
      </c>
      <c r="P18" s="141">
        <v>72225.844920309697</v>
      </c>
      <c r="Q18" s="141">
        <v>108146.01978557275</v>
      </c>
      <c r="R18" s="141">
        <v>72225.844920309697</v>
      </c>
      <c r="S18" s="141">
        <v>108146.01978557275</v>
      </c>
    </row>
    <row r="19" spans="2:19" x14ac:dyDescent="0.25">
      <c r="B19" s="83">
        <v>18</v>
      </c>
      <c r="C19" s="91" t="s">
        <v>108</v>
      </c>
      <c r="D19" s="7"/>
      <c r="E19" s="28">
        <f t="shared" si="0"/>
        <v>4537338.4823529413</v>
      </c>
      <c r="F19" s="28">
        <f t="shared" si="2"/>
        <v>4537337.8299726397</v>
      </c>
      <c r="G19" s="28">
        <f t="shared" si="1"/>
        <v>4537338.4823529422</v>
      </c>
      <c r="H19" s="7"/>
      <c r="I19" s="7"/>
      <c r="J19" s="7"/>
      <c r="K19"/>
    </row>
    <row r="20" spans="2:19" x14ac:dyDescent="0.25">
      <c r="B20" s="84">
        <v>19</v>
      </c>
      <c r="C20" s="92" t="s">
        <v>109</v>
      </c>
      <c r="D20" s="7"/>
      <c r="E20" s="28">
        <f t="shared" si="0"/>
        <v>4627524.4147058828</v>
      </c>
      <c r="F20" s="28">
        <f t="shared" si="2"/>
        <v>4627523.7263397174</v>
      </c>
      <c r="G20" s="28">
        <f t="shared" si="1"/>
        <v>4627524.4147058828</v>
      </c>
      <c r="H20" s="7"/>
      <c r="I20" s="7"/>
      <c r="J20" s="7"/>
      <c r="K20"/>
    </row>
    <row r="21" spans="2:19" x14ac:dyDescent="0.25">
      <c r="B21" s="7"/>
      <c r="C21" s="7"/>
      <c r="D21" s="7"/>
      <c r="E21" s="7"/>
      <c r="F21" s="7"/>
      <c r="G21" s="7"/>
      <c r="H21" s="7"/>
      <c r="I21" s="7"/>
      <c r="J21" s="7"/>
      <c r="K21"/>
    </row>
    <row r="22" spans="2:19" x14ac:dyDescent="0.25">
      <c r="B22" s="7"/>
      <c r="C22" s="7"/>
      <c r="D22" s="7"/>
      <c r="E22" s="7"/>
      <c r="F22" s="7"/>
      <c r="G22" s="7"/>
      <c r="H22" s="7"/>
      <c r="I22" s="7"/>
      <c r="J22" s="7"/>
    </row>
    <row r="34" spans="12:12" x14ac:dyDescent="0.25">
      <c r="L34" s="8"/>
    </row>
  </sheetData>
  <phoneticPr fontId="3" type="noConversion"/>
  <printOptions headings="1"/>
  <pageMargins left="0.74803149606299213" right="0.74803149606299213" top="0.98425196850393704" bottom="0.98425196850393704" header="0.51181102362204722" footer="0.51181102362204722"/>
  <pageSetup paperSize="9" orientation="portrait" blackAndWhite="1"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1"/>
  <sheetViews>
    <sheetView showGridLines="0" topLeftCell="A10" workbookViewId="0">
      <selection activeCell="C4" sqref="C4"/>
    </sheetView>
  </sheetViews>
  <sheetFormatPr defaultColWidth="9" defaultRowHeight="14.4" x14ac:dyDescent="0.25"/>
  <cols>
    <col min="1" max="1" width="9.5" style="1" customWidth="1"/>
    <col min="2" max="2" width="14.19921875" style="1" customWidth="1"/>
    <col min="3" max="3" width="10.19921875" style="1" customWidth="1"/>
    <col min="4" max="4" width="1.69921875" style="1" customWidth="1"/>
    <col min="5" max="5" width="11" style="1" customWidth="1"/>
    <col min="6" max="6" width="9" style="1"/>
    <col min="7" max="7" width="19.3984375" style="1" customWidth="1"/>
    <col min="8" max="16384" width="9" style="1"/>
  </cols>
  <sheetData>
    <row r="1" spans="1:15" ht="28.8" x14ac:dyDescent="0.25">
      <c r="A1" s="29" t="s">
        <v>0</v>
      </c>
      <c r="B1" s="29" t="s">
        <v>1</v>
      </c>
      <c r="C1" s="30" t="s">
        <v>2</v>
      </c>
      <c r="G1" t="s">
        <v>114</v>
      </c>
      <c r="H1"/>
      <c r="I1"/>
      <c r="J1"/>
      <c r="K1"/>
      <c r="L1"/>
      <c r="M1"/>
      <c r="N1"/>
      <c r="O1"/>
    </row>
    <row r="2" spans="1:15" ht="16.2" thickBot="1" x14ac:dyDescent="0.3">
      <c r="A2" s="31">
        <v>5.67</v>
      </c>
      <c r="B2" s="32">
        <v>17.7</v>
      </c>
      <c r="C2" s="39">
        <f>POWER(A2,-1)</f>
        <v>0.17636684303350969</v>
      </c>
      <c r="E2" s="40" t="s">
        <v>3</v>
      </c>
      <c r="F2" s="14">
        <f>H17</f>
        <v>16.834254084662955</v>
      </c>
      <c r="G2"/>
      <c r="H2"/>
      <c r="I2"/>
      <c r="J2"/>
      <c r="K2"/>
      <c r="L2"/>
      <c r="M2"/>
      <c r="N2"/>
      <c r="O2"/>
    </row>
    <row r="3" spans="1:15" ht="15.6" x14ac:dyDescent="0.25">
      <c r="A3" s="33">
        <v>5.13</v>
      </c>
      <c r="B3" s="34">
        <v>18</v>
      </c>
      <c r="C3" s="39">
        <f t="shared" ref="C3:C14" si="0">POWER(A3,-1)</f>
        <v>0.19493177387914232</v>
      </c>
      <c r="E3" s="40" t="s">
        <v>4</v>
      </c>
      <c r="F3" s="14">
        <f>H18</f>
        <v>5.3194333616280964</v>
      </c>
      <c r="G3" s="143" t="s">
        <v>115</v>
      </c>
      <c r="H3" s="143"/>
      <c r="I3"/>
      <c r="J3"/>
      <c r="K3"/>
      <c r="L3"/>
      <c r="M3"/>
      <c r="N3"/>
      <c r="O3"/>
    </row>
    <row r="4" spans="1:15" ht="15.6" x14ac:dyDescent="0.25">
      <c r="A4" s="33">
        <v>4.5599999999999996</v>
      </c>
      <c r="B4" s="34">
        <v>17.899999999999999</v>
      </c>
      <c r="C4" s="39">
        <f t="shared" si="0"/>
        <v>0.2192982456140351</v>
      </c>
      <c r="E4" s="40" t="s">
        <v>5</v>
      </c>
      <c r="F4" s="14">
        <f>H5</f>
        <v>0.93236304084528376</v>
      </c>
      <c r="G4" s="140" t="s">
        <v>116</v>
      </c>
      <c r="H4" s="140">
        <v>0.965589478425114</v>
      </c>
      <c r="I4"/>
      <c r="J4"/>
      <c r="K4"/>
      <c r="L4"/>
      <c r="M4"/>
      <c r="N4"/>
      <c r="O4"/>
    </row>
    <row r="5" spans="1:15" ht="15.6" x14ac:dyDescent="0.25">
      <c r="A5" s="33">
        <v>4.45</v>
      </c>
      <c r="B5" s="34">
        <v>18.100000000000001</v>
      </c>
      <c r="C5" s="39">
        <f t="shared" si="0"/>
        <v>0.2247191011235955</v>
      </c>
      <c r="G5" s="140" t="s">
        <v>117</v>
      </c>
      <c r="H5" s="140">
        <v>0.93236304084528376</v>
      </c>
      <c r="I5"/>
      <c r="J5"/>
      <c r="K5"/>
      <c r="L5"/>
      <c r="M5"/>
      <c r="N5"/>
      <c r="O5"/>
    </row>
    <row r="6" spans="1:15" ht="15.6" x14ac:dyDescent="0.25">
      <c r="A6" s="33">
        <v>4.22</v>
      </c>
      <c r="B6" s="34">
        <v>18.100000000000001</v>
      </c>
      <c r="C6" s="39">
        <f t="shared" si="0"/>
        <v>0.23696682464454977</v>
      </c>
      <c r="E6" s="40" t="s">
        <v>6</v>
      </c>
      <c r="F6" s="16">
        <v>5</v>
      </c>
      <c r="G6" s="140" t="s">
        <v>118</v>
      </c>
      <c r="H6" s="140">
        <v>0.92621422637667328</v>
      </c>
      <c r="I6"/>
      <c r="J6"/>
      <c r="K6"/>
      <c r="L6"/>
      <c r="M6"/>
      <c r="N6"/>
      <c r="O6"/>
    </row>
    <row r="7" spans="1:15" ht="15.6" x14ac:dyDescent="0.25">
      <c r="A7" s="33">
        <v>3.84</v>
      </c>
      <c r="B7" s="34">
        <v>18.3</v>
      </c>
      <c r="C7" s="39">
        <f t="shared" si="0"/>
        <v>0.26041666666666669</v>
      </c>
      <c r="E7" s="40" t="s">
        <v>7</v>
      </c>
      <c r="F7" s="16">
        <f>F2+F3/F6</f>
        <v>17.898140756988575</v>
      </c>
      <c r="G7" s="140" t="s">
        <v>119</v>
      </c>
      <c r="H7" s="140">
        <v>0.12718534471286128</v>
      </c>
      <c r="I7"/>
      <c r="J7"/>
      <c r="K7"/>
      <c r="L7"/>
      <c r="M7"/>
      <c r="N7"/>
      <c r="O7"/>
    </row>
    <row r="8" spans="1:15" ht="16.2" thickBot="1" x14ac:dyDescent="0.3">
      <c r="A8" s="33">
        <v>3.84</v>
      </c>
      <c r="B8" s="34">
        <v>18</v>
      </c>
      <c r="C8" s="39">
        <f t="shared" si="0"/>
        <v>0.26041666666666669</v>
      </c>
      <c r="G8" s="141" t="s">
        <v>120</v>
      </c>
      <c r="H8" s="141">
        <v>13</v>
      </c>
      <c r="I8"/>
      <c r="J8"/>
      <c r="K8"/>
      <c r="L8"/>
      <c r="M8"/>
      <c r="N8"/>
      <c r="O8"/>
    </row>
    <row r="9" spans="1:15" ht="15.6" x14ac:dyDescent="0.25">
      <c r="A9" s="33">
        <v>3.73</v>
      </c>
      <c r="B9" s="34">
        <v>18.3</v>
      </c>
      <c r="C9" s="39">
        <f t="shared" si="0"/>
        <v>0.26809651474530832</v>
      </c>
      <c r="G9"/>
      <c r="H9"/>
      <c r="I9"/>
      <c r="J9"/>
      <c r="K9"/>
      <c r="L9"/>
      <c r="M9"/>
      <c r="N9"/>
      <c r="O9"/>
    </row>
    <row r="10" spans="1:15" ht="16.2" thickBot="1" x14ac:dyDescent="0.3">
      <c r="A10" s="33">
        <v>3.21</v>
      </c>
      <c r="B10" s="34">
        <v>18.399999999999999</v>
      </c>
      <c r="C10" s="39">
        <f t="shared" si="0"/>
        <v>0.3115264797507788</v>
      </c>
      <c r="G10" t="s">
        <v>121</v>
      </c>
      <c r="H10"/>
      <c r="I10"/>
      <c r="J10"/>
      <c r="K10"/>
      <c r="L10"/>
      <c r="M10"/>
      <c r="N10"/>
      <c r="O10"/>
    </row>
    <row r="11" spans="1:15" ht="15.6" x14ac:dyDescent="0.25">
      <c r="A11" s="33">
        <v>2.81</v>
      </c>
      <c r="B11" s="34">
        <v>18.8</v>
      </c>
      <c r="C11" s="39">
        <f t="shared" si="0"/>
        <v>0.35587188612099646</v>
      </c>
      <c r="G11" s="142"/>
      <c r="H11" s="142" t="s">
        <v>126</v>
      </c>
      <c r="I11" s="142" t="s">
        <v>127</v>
      </c>
      <c r="J11" s="142" t="s">
        <v>128</v>
      </c>
      <c r="K11" s="142" t="s">
        <v>129</v>
      </c>
      <c r="L11" s="142" t="s">
        <v>130</v>
      </c>
      <c r="M11"/>
      <c r="N11"/>
      <c r="O11"/>
    </row>
    <row r="12" spans="1:15" ht="15.6" x14ac:dyDescent="0.25">
      <c r="A12" s="33">
        <v>2.67</v>
      </c>
      <c r="B12" s="34">
        <v>18.899999999999999</v>
      </c>
      <c r="C12" s="39">
        <f t="shared" si="0"/>
        <v>0.37453183520599254</v>
      </c>
      <c r="G12" s="140" t="s">
        <v>122</v>
      </c>
      <c r="H12" s="140">
        <v>1</v>
      </c>
      <c r="I12" s="140">
        <v>2.4528319997622114</v>
      </c>
      <c r="J12" s="140">
        <v>2.4528319997622114</v>
      </c>
      <c r="K12" s="140">
        <v>151.63297666647085</v>
      </c>
      <c r="L12" s="140">
        <v>8.9168423738997634E-8</v>
      </c>
      <c r="M12"/>
      <c r="N12"/>
      <c r="O12"/>
    </row>
    <row r="13" spans="1:15" ht="15.6" x14ac:dyDescent="0.25">
      <c r="A13" s="33">
        <v>2.56</v>
      </c>
      <c r="B13" s="34">
        <v>19.100000000000001</v>
      </c>
      <c r="C13" s="39">
        <f t="shared" si="0"/>
        <v>0.390625</v>
      </c>
      <c r="G13" s="140" t="s">
        <v>123</v>
      </c>
      <c r="H13" s="140">
        <v>11</v>
      </c>
      <c r="I13" s="140">
        <v>0.17793723100702283</v>
      </c>
      <c r="J13" s="140">
        <v>1.6176111909729347E-2</v>
      </c>
      <c r="K13" s="140"/>
      <c r="L13" s="140"/>
      <c r="M13"/>
      <c r="N13"/>
      <c r="O13"/>
    </row>
    <row r="14" spans="1:15" ht="16.2" thickBot="1" x14ac:dyDescent="0.3">
      <c r="A14" s="35">
        <v>2.1800000000000002</v>
      </c>
      <c r="B14" s="36">
        <v>19.100000000000001</v>
      </c>
      <c r="C14" s="39">
        <f t="shared" si="0"/>
        <v>0.4587155963302752</v>
      </c>
      <c r="G14" s="141" t="s">
        <v>124</v>
      </c>
      <c r="H14" s="141">
        <v>12</v>
      </c>
      <c r="I14" s="141">
        <v>2.6307692307692343</v>
      </c>
      <c r="J14" s="141"/>
      <c r="K14" s="141"/>
      <c r="L14" s="141"/>
      <c r="M14"/>
      <c r="N14"/>
      <c r="O14"/>
    </row>
    <row r="15" spans="1:15" ht="16.2" thickBot="1" x14ac:dyDescent="0.3">
      <c r="G15"/>
      <c r="H15"/>
      <c r="I15"/>
      <c r="J15"/>
      <c r="K15"/>
      <c r="L15"/>
      <c r="M15"/>
      <c r="N15"/>
      <c r="O15"/>
    </row>
    <row r="16" spans="1:15" ht="15.6" x14ac:dyDescent="0.25">
      <c r="G16" s="142"/>
      <c r="H16" s="142" t="s">
        <v>131</v>
      </c>
      <c r="I16" s="142" t="s">
        <v>119</v>
      </c>
      <c r="J16" s="142" t="s">
        <v>132</v>
      </c>
      <c r="K16" s="142" t="s">
        <v>133</v>
      </c>
      <c r="L16" s="142" t="s">
        <v>134</v>
      </c>
      <c r="M16" s="142" t="s">
        <v>135</v>
      </c>
      <c r="N16" s="142" t="s">
        <v>136</v>
      </c>
      <c r="O16" s="142" t="s">
        <v>137</v>
      </c>
    </row>
    <row r="17" spans="7:15" ht="15.6" x14ac:dyDescent="0.25">
      <c r="G17" s="140" t="s">
        <v>125</v>
      </c>
      <c r="H17" s="140">
        <v>16.834254084662955</v>
      </c>
      <c r="I17" s="140">
        <v>0.12894765441518</v>
      </c>
      <c r="J17" s="140">
        <v>130.55106865659428</v>
      </c>
      <c r="K17" s="140">
        <v>6.6686710391146169E-19</v>
      </c>
      <c r="L17" s="140">
        <v>16.550442210866517</v>
      </c>
      <c r="M17" s="140">
        <v>17.118065958459393</v>
      </c>
      <c r="N17" s="140">
        <v>16.550442210866517</v>
      </c>
      <c r="O17" s="140">
        <v>17.118065958459393</v>
      </c>
    </row>
    <row r="18" spans="7:15" ht="16.2" thickBot="1" x14ac:dyDescent="0.3">
      <c r="G18" s="141" t="s">
        <v>138</v>
      </c>
      <c r="H18" s="141">
        <v>5.3194333616280964</v>
      </c>
      <c r="I18" s="141">
        <v>0.43198487619421111</v>
      </c>
      <c r="J18" s="141">
        <v>12.313934248097597</v>
      </c>
      <c r="K18" s="141">
        <v>8.9168423738997475E-8</v>
      </c>
      <c r="L18" s="141">
        <v>4.3686410597406145</v>
      </c>
      <c r="M18" s="141">
        <v>6.2702256635155784</v>
      </c>
      <c r="N18" s="141">
        <v>4.3686410597406145</v>
      </c>
      <c r="O18" s="141">
        <v>6.2702256635155784</v>
      </c>
    </row>
    <row r="19" spans="7:15" ht="15.6" x14ac:dyDescent="0.25">
      <c r="G19"/>
      <c r="H19"/>
      <c r="I19"/>
      <c r="J19"/>
      <c r="K19"/>
      <c r="L19"/>
      <c r="M19"/>
      <c r="N19"/>
      <c r="O19"/>
    </row>
    <row r="20" spans="7:15" ht="15.6" x14ac:dyDescent="0.25">
      <c r="G20"/>
      <c r="H20"/>
      <c r="I20"/>
      <c r="J20"/>
      <c r="K20"/>
      <c r="L20"/>
      <c r="M20"/>
      <c r="N20"/>
      <c r="O20"/>
    </row>
    <row r="21" spans="7:15" ht="15.6" x14ac:dyDescent="0.25">
      <c r="G21"/>
      <c r="H21"/>
      <c r="I21"/>
      <c r="J21"/>
      <c r="K21"/>
      <c r="L21"/>
      <c r="M21"/>
      <c r="N21"/>
      <c r="O21"/>
    </row>
  </sheetData>
  <phoneticPr fontId="3" type="noConversion"/>
  <printOptions headings="1"/>
  <pageMargins left="0.74803149606299213" right="0.74803149606299213" top="0.98425196850393704" bottom="0.98425196850393704" header="0.51181102362204722" footer="0.51181102362204722"/>
  <pageSetup paperSize="9" orientation="portrait" blackAndWhite="1"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1"/>
  <sheetViews>
    <sheetView showGridLines="0" topLeftCell="F1" workbookViewId="0">
      <selection activeCell="J28" sqref="J28"/>
    </sheetView>
  </sheetViews>
  <sheetFormatPr defaultColWidth="9" defaultRowHeight="14.4" x14ac:dyDescent="0.25"/>
  <cols>
    <col min="1" max="1" width="13.59765625" style="93" customWidth="1"/>
    <col min="2" max="2" width="2.19921875" style="93" customWidth="1"/>
    <col min="3" max="3" width="4.59765625" style="93" customWidth="1"/>
    <col min="4" max="4" width="8.59765625" style="93" customWidth="1"/>
    <col min="5" max="6" width="8" style="93" customWidth="1"/>
    <col min="7" max="7" width="7.19921875" style="93" customWidth="1"/>
    <col min="8" max="8" width="7.69921875" style="93" customWidth="1"/>
    <col min="9" max="9" width="8.09765625" style="93" customWidth="1"/>
    <col min="10" max="10" width="2.5" style="93" customWidth="1"/>
    <col min="11" max="16384" width="9" style="93"/>
  </cols>
  <sheetData>
    <row r="1" spans="1:10" x14ac:dyDescent="0.25">
      <c r="B1" s="94"/>
      <c r="C1" s="94"/>
      <c r="D1" s="94"/>
      <c r="E1" s="158" t="s">
        <v>21</v>
      </c>
      <c r="F1" s="158"/>
      <c r="G1" s="158"/>
      <c r="H1" s="158"/>
      <c r="I1" s="94"/>
      <c r="J1" s="94"/>
    </row>
    <row r="2" spans="1:10" ht="15.6" x14ac:dyDescent="0.25">
      <c r="A2">
        <f>MIN($E$14)</f>
        <v>1664</v>
      </c>
      <c r="B2" s="94"/>
      <c r="C2" s="94"/>
      <c r="D2" s="95" t="s">
        <v>22</v>
      </c>
      <c r="E2" s="96" t="s">
        <v>23</v>
      </c>
      <c r="F2" s="96" t="s">
        <v>24</v>
      </c>
      <c r="G2" s="96" t="s">
        <v>25</v>
      </c>
      <c r="H2" s="96" t="s">
        <v>26</v>
      </c>
      <c r="I2" s="95" t="s">
        <v>6</v>
      </c>
      <c r="J2" s="94"/>
    </row>
    <row r="3" spans="1:10" ht="15.6" x14ac:dyDescent="0.25">
      <c r="A3">
        <f>COUNT($E$10:$H$12)</f>
        <v>12</v>
      </c>
      <c r="B3" s="94"/>
      <c r="C3" s="159" t="s">
        <v>27</v>
      </c>
      <c r="D3" s="95" t="s">
        <v>28</v>
      </c>
      <c r="E3" s="97">
        <v>16</v>
      </c>
      <c r="F3" s="97">
        <v>13</v>
      </c>
      <c r="G3" s="97">
        <v>22</v>
      </c>
      <c r="H3" s="97">
        <v>17</v>
      </c>
      <c r="I3" s="97">
        <v>50</v>
      </c>
      <c r="J3" s="94"/>
    </row>
    <row r="4" spans="1:10" ht="15.6" x14ac:dyDescent="0.25">
      <c r="A4" t="b">
        <f t="array" ref="A4">$E$10:$H$12=INT($E$10:$H$12)</f>
        <v>1</v>
      </c>
      <c r="B4" s="94"/>
      <c r="C4" s="160"/>
      <c r="D4" s="95" t="s">
        <v>29</v>
      </c>
      <c r="E4" s="97">
        <v>14</v>
      </c>
      <c r="F4" s="97">
        <v>13</v>
      </c>
      <c r="G4" s="97">
        <v>19</v>
      </c>
      <c r="H4" s="97">
        <v>15</v>
      </c>
      <c r="I4" s="97">
        <v>60</v>
      </c>
      <c r="J4" s="94"/>
    </row>
    <row r="5" spans="1:10" ht="15.6" x14ac:dyDescent="0.25">
      <c r="A5" t="b">
        <f t="array" ref="A5">$E$10:$H$12&gt;=0</f>
        <v>1</v>
      </c>
      <c r="B5" s="94"/>
      <c r="C5" s="160"/>
      <c r="D5" s="95" t="s">
        <v>30</v>
      </c>
      <c r="E5" s="97">
        <v>19</v>
      </c>
      <c r="F5" s="97">
        <v>20</v>
      </c>
      <c r="G5" s="97">
        <v>23</v>
      </c>
      <c r="H5" s="97">
        <v>100</v>
      </c>
      <c r="I5" s="97">
        <v>50</v>
      </c>
      <c r="J5" s="94"/>
    </row>
    <row r="6" spans="1:10" ht="15.6" x14ac:dyDescent="0.25">
      <c r="A6" t="b">
        <f t="array" ref="A6">$E$13:$H$13&lt;=$E$7:$H$7</f>
        <v>1</v>
      </c>
      <c r="B6" s="94"/>
      <c r="C6" s="94"/>
      <c r="D6" s="98" t="s">
        <v>31</v>
      </c>
      <c r="E6" s="97">
        <v>30</v>
      </c>
      <c r="F6" s="97">
        <v>70</v>
      </c>
      <c r="G6" s="97">
        <v>8</v>
      </c>
      <c r="H6" s="97">
        <v>10</v>
      </c>
      <c r="I6" s="94"/>
      <c r="J6" s="94"/>
    </row>
    <row r="7" spans="1:10" ht="15.6" x14ac:dyDescent="0.25">
      <c r="A7" t="b">
        <f t="array" ref="A7">$E$13:$H$13&gt;=$E$6:$H$6</f>
        <v>1</v>
      </c>
      <c r="B7" s="94"/>
      <c r="C7" s="94"/>
      <c r="D7" s="98" t="s">
        <v>32</v>
      </c>
      <c r="E7" s="97">
        <v>50</v>
      </c>
      <c r="F7" s="97">
        <v>70</v>
      </c>
      <c r="G7" s="97">
        <v>30</v>
      </c>
      <c r="H7" s="99">
        <v>10000000</v>
      </c>
      <c r="I7" s="94"/>
      <c r="J7" s="94"/>
    </row>
    <row r="8" spans="1:10" ht="15.6" x14ac:dyDescent="0.25">
      <c r="A8" t="b">
        <f t="array" ref="A8">$I$10:$I$12&lt;=$I$3:$I$5</f>
        <v>1</v>
      </c>
      <c r="B8" s="94"/>
      <c r="C8" s="94"/>
      <c r="D8" s="94"/>
      <c r="E8" s="157" t="s">
        <v>21</v>
      </c>
      <c r="F8" s="157"/>
      <c r="G8" s="157"/>
      <c r="H8" s="157"/>
      <c r="I8" s="100"/>
      <c r="J8" s="94"/>
    </row>
    <row r="9" spans="1:10" ht="15.6" x14ac:dyDescent="0.25">
      <c r="A9">
        <f>{100,100,0.000001,0.05,TRUE,FALSE,FALSE,1,1,1,0.0001,FALSE}</f>
        <v>100</v>
      </c>
      <c r="B9" s="94"/>
      <c r="C9" s="94"/>
      <c r="D9" s="94"/>
      <c r="E9" s="96" t="s">
        <v>23</v>
      </c>
      <c r="F9" s="96" t="s">
        <v>24</v>
      </c>
      <c r="G9" s="96" t="s">
        <v>25</v>
      </c>
      <c r="H9" s="96" t="s">
        <v>26</v>
      </c>
      <c r="I9" s="101" t="s">
        <v>33</v>
      </c>
      <c r="J9" s="94"/>
    </row>
    <row r="10" spans="1:10" ht="15.6" x14ac:dyDescent="0.25">
      <c r="A10">
        <f>{100,100,2,100,0,FALSE,TRUE,0.075,0,0,TRUE,30}</f>
        <v>100</v>
      </c>
      <c r="B10" s="94"/>
      <c r="C10" s="94"/>
      <c r="D10" s="95" t="s">
        <v>28</v>
      </c>
      <c r="E10" s="102">
        <v>0</v>
      </c>
      <c r="F10" s="102">
        <v>50</v>
      </c>
      <c r="G10" s="102">
        <v>0</v>
      </c>
      <c r="H10" s="102">
        <v>0</v>
      </c>
      <c r="I10" s="103">
        <f>SUM(E10:H10)</f>
        <v>50</v>
      </c>
      <c r="J10" s="94"/>
    </row>
    <row r="11" spans="1:10" x14ac:dyDescent="0.25">
      <c r="A11" s="94"/>
      <c r="B11" s="94"/>
      <c r="C11" s="94"/>
      <c r="D11" s="95" t="s">
        <v>29</v>
      </c>
      <c r="E11" s="102">
        <v>30</v>
      </c>
      <c r="F11" s="102">
        <v>20</v>
      </c>
      <c r="G11" s="102">
        <v>0</v>
      </c>
      <c r="H11" s="102">
        <v>10</v>
      </c>
      <c r="I11" s="103">
        <f>SUM(E11:H11)</f>
        <v>60</v>
      </c>
      <c r="J11" s="94"/>
    </row>
    <row r="12" spans="1:10" x14ac:dyDescent="0.25">
      <c r="A12" s="94"/>
      <c r="B12" s="94"/>
      <c r="C12" s="94"/>
      <c r="D12" s="95" t="s">
        <v>30</v>
      </c>
      <c r="E12" s="102">
        <v>0</v>
      </c>
      <c r="F12" s="102">
        <v>0</v>
      </c>
      <c r="G12" s="102">
        <v>8</v>
      </c>
      <c r="H12" s="102">
        <v>0</v>
      </c>
      <c r="I12" s="103">
        <f>SUM(E12:H12)</f>
        <v>8</v>
      </c>
      <c r="J12" s="94"/>
    </row>
    <row r="13" spans="1:10" x14ac:dyDescent="0.25">
      <c r="A13" s="94"/>
      <c r="B13" s="94"/>
      <c r="C13" s="94"/>
      <c r="D13" s="95" t="s">
        <v>34</v>
      </c>
      <c r="E13" s="103">
        <f>SUM(E10:E12)</f>
        <v>30</v>
      </c>
      <c r="F13" s="103">
        <f>SUM(F10:F12)</f>
        <v>70</v>
      </c>
      <c r="G13" s="103">
        <f>SUM(G10:G12)</f>
        <v>8</v>
      </c>
      <c r="H13" s="103">
        <f>SUM(H10:H12)</f>
        <v>10</v>
      </c>
      <c r="I13" s="94"/>
      <c r="J13" s="94"/>
    </row>
    <row r="14" spans="1:10" x14ac:dyDescent="0.25">
      <c r="A14" s="94"/>
      <c r="B14" s="94"/>
      <c r="C14" s="94"/>
      <c r="D14" s="95" t="s">
        <v>17</v>
      </c>
      <c r="E14" s="104">
        <f>SUMPRODUCT(E3:H5,E10:H12)</f>
        <v>1664</v>
      </c>
      <c r="F14" s="94"/>
      <c r="G14" s="94"/>
      <c r="H14" s="94"/>
      <c r="I14" s="94"/>
      <c r="J14" s="94"/>
    </row>
    <row r="15" spans="1:10" x14ac:dyDescent="0.25">
      <c r="A15" s="94"/>
      <c r="B15" s="94"/>
      <c r="C15" s="94"/>
      <c r="D15" s="94"/>
      <c r="E15" s="94"/>
      <c r="F15" s="94"/>
      <c r="G15" s="94"/>
      <c r="H15" s="94"/>
      <c r="I15" s="94"/>
      <c r="J15" s="94"/>
    </row>
    <row r="18" spans="1:9" x14ac:dyDescent="0.25">
      <c r="B18" s="94"/>
      <c r="C18" s="94"/>
      <c r="D18" s="94"/>
      <c r="E18" s="158" t="s">
        <v>21</v>
      </c>
      <c r="F18" s="158"/>
      <c r="G18" s="158"/>
      <c r="H18" s="158"/>
      <c r="I18" s="94"/>
    </row>
    <row r="19" spans="1:9" ht="15.6" x14ac:dyDescent="0.25">
      <c r="A19">
        <f>MIN($E$14)</f>
        <v>1664</v>
      </c>
      <c r="B19" s="94"/>
      <c r="C19" s="94"/>
      <c r="D19" s="95" t="s">
        <v>22</v>
      </c>
      <c r="E19" s="96" t="s">
        <v>23</v>
      </c>
      <c r="F19" s="96" t="s">
        <v>24</v>
      </c>
      <c r="G19" s="96" t="s">
        <v>25</v>
      </c>
      <c r="H19" s="96" t="s">
        <v>26</v>
      </c>
      <c r="I19" s="95" t="s">
        <v>6</v>
      </c>
    </row>
    <row r="20" spans="1:9" ht="15.6" x14ac:dyDescent="0.25">
      <c r="A20">
        <f>COUNT($E$10:$H$12)</f>
        <v>12</v>
      </c>
      <c r="B20" s="94"/>
      <c r="C20" s="159" t="s">
        <v>27</v>
      </c>
      <c r="D20" s="95" t="s">
        <v>28</v>
      </c>
      <c r="E20" s="97">
        <v>16</v>
      </c>
      <c r="F20" s="97">
        <v>13</v>
      </c>
      <c r="G20" s="97">
        <v>22</v>
      </c>
      <c r="H20" s="97">
        <v>17</v>
      </c>
      <c r="I20" s="97">
        <v>50</v>
      </c>
    </row>
    <row r="21" spans="1:9" ht="15.6" x14ac:dyDescent="0.25">
      <c r="A21" t="b">
        <f t="array" ref="A21">$E$10:$H$12=INT($E$10:$H$12)</f>
        <v>1</v>
      </c>
      <c r="B21" s="94"/>
      <c r="C21" s="160"/>
      <c r="D21" s="95" t="s">
        <v>29</v>
      </c>
      <c r="E21" s="97">
        <v>14</v>
      </c>
      <c r="F21" s="97">
        <v>13</v>
      </c>
      <c r="G21" s="97">
        <v>19</v>
      </c>
      <c r="H21" s="97">
        <v>15</v>
      </c>
      <c r="I21" s="97">
        <v>60</v>
      </c>
    </row>
    <row r="22" spans="1:9" ht="15.6" x14ac:dyDescent="0.25">
      <c r="A22" t="b">
        <f t="array" ref="A22">$E$10:$H$12&gt;=0</f>
        <v>1</v>
      </c>
      <c r="B22" s="94"/>
      <c r="C22" s="160"/>
      <c r="D22" s="95" t="s">
        <v>30</v>
      </c>
      <c r="E22" s="97">
        <v>19</v>
      </c>
      <c r="F22" s="97">
        <v>20</v>
      </c>
      <c r="G22" s="97">
        <v>23</v>
      </c>
      <c r="H22" s="97">
        <v>100</v>
      </c>
      <c r="I22" s="97">
        <v>50</v>
      </c>
    </row>
    <row r="23" spans="1:9" ht="15.6" x14ac:dyDescent="0.25">
      <c r="A23" t="b">
        <f t="array" ref="A23">$E$13:$H$13&lt;=$E$7:$H$7</f>
        <v>1</v>
      </c>
      <c r="B23" s="94"/>
      <c r="C23" s="94"/>
      <c r="D23" s="98" t="s">
        <v>31</v>
      </c>
      <c r="E23" s="97">
        <v>30</v>
      </c>
      <c r="F23" s="97">
        <v>70</v>
      </c>
      <c r="G23" s="97">
        <v>8</v>
      </c>
      <c r="H23" s="97">
        <v>10</v>
      </c>
      <c r="I23" s="94"/>
    </row>
    <row r="24" spans="1:9" ht="15.6" x14ac:dyDescent="0.25">
      <c r="A24" t="b">
        <f t="array" ref="A24">$E$13:$H$13&gt;=$E$6:$H$6</f>
        <v>1</v>
      </c>
      <c r="B24" s="94"/>
      <c r="C24" s="94"/>
      <c r="D24" s="98" t="s">
        <v>32</v>
      </c>
      <c r="E24" s="97">
        <v>50</v>
      </c>
      <c r="F24" s="97">
        <v>70</v>
      </c>
      <c r="G24" s="97">
        <v>30</v>
      </c>
      <c r="H24" s="99">
        <v>1000000</v>
      </c>
      <c r="I24" s="94"/>
    </row>
    <row r="25" spans="1:9" ht="15.6" x14ac:dyDescent="0.25">
      <c r="A25" t="b">
        <f t="array" ref="A25">$I$10:$I$12&lt;=$I$3:$I$5</f>
        <v>1</v>
      </c>
      <c r="B25" s="94"/>
      <c r="C25" s="94"/>
      <c r="D25" s="94"/>
      <c r="E25" s="157" t="s">
        <v>21</v>
      </c>
      <c r="F25" s="157"/>
      <c r="G25" s="157"/>
      <c r="H25" s="157"/>
      <c r="I25" s="100"/>
    </row>
    <row r="26" spans="1:9" ht="15.6" x14ac:dyDescent="0.25">
      <c r="A26">
        <f>{100,100,0.000001,0.05,TRUE,FALSE,FALSE,1,1,1,0.0001,FALSE}</f>
        <v>100</v>
      </c>
      <c r="B26" s="94"/>
      <c r="C26" s="94"/>
      <c r="D26" s="94"/>
      <c r="E26" s="96" t="s">
        <v>23</v>
      </c>
      <c r="F26" s="96" t="s">
        <v>24</v>
      </c>
      <c r="G26" s="96" t="s">
        <v>25</v>
      </c>
      <c r="H26" s="96" t="s">
        <v>26</v>
      </c>
      <c r="I26" s="101" t="s">
        <v>33</v>
      </c>
    </row>
    <row r="27" spans="1:9" ht="15.6" x14ac:dyDescent="0.25">
      <c r="A27">
        <f>{100,100,2,100,0,FALSE,TRUE,0.075,0,0,TRUE,30}</f>
        <v>100</v>
      </c>
      <c r="B27" s="94"/>
      <c r="C27" s="94"/>
      <c r="D27" s="95" t="s">
        <v>28</v>
      </c>
      <c r="E27" s="102">
        <v>0</v>
      </c>
      <c r="F27" s="102">
        <v>50</v>
      </c>
      <c r="G27" s="102">
        <v>0</v>
      </c>
      <c r="H27" s="102">
        <v>0</v>
      </c>
      <c r="I27" s="103">
        <f>SUM(E27:H27)</f>
        <v>50</v>
      </c>
    </row>
    <row r="28" spans="1:9" x14ac:dyDescent="0.25">
      <c r="A28" s="94"/>
      <c r="B28" s="94"/>
      <c r="C28" s="94"/>
      <c r="D28" s="95" t="s">
        <v>29</v>
      </c>
      <c r="E28" s="102">
        <v>30</v>
      </c>
      <c r="F28" s="102">
        <v>20</v>
      </c>
      <c r="G28" s="102">
        <v>0</v>
      </c>
      <c r="H28" s="102">
        <v>10</v>
      </c>
      <c r="I28" s="103">
        <f>SUM(E28:H28)</f>
        <v>60</v>
      </c>
    </row>
    <row r="29" spans="1:9" x14ac:dyDescent="0.25">
      <c r="A29" s="94"/>
      <c r="B29" s="94"/>
      <c r="C29" s="94"/>
      <c r="D29" s="95" t="s">
        <v>30</v>
      </c>
      <c r="E29" s="102">
        <v>0</v>
      </c>
      <c r="F29" s="102">
        <v>0</v>
      </c>
      <c r="G29" s="102">
        <v>8</v>
      </c>
      <c r="H29" s="102">
        <v>0</v>
      </c>
      <c r="I29" s="103">
        <f>SUM(E29:H29)</f>
        <v>8</v>
      </c>
    </row>
    <row r="30" spans="1:9" x14ac:dyDescent="0.25">
      <c r="A30" s="94"/>
      <c r="B30" s="94"/>
      <c r="C30" s="94"/>
      <c r="D30" s="95" t="s">
        <v>34</v>
      </c>
      <c r="E30" s="103">
        <f>SUM(E27:E29)</f>
        <v>30</v>
      </c>
      <c r="F30" s="103">
        <f>SUM(F27:F29)</f>
        <v>70</v>
      </c>
      <c r="G30" s="103">
        <f>SUM(G27:G29)</f>
        <v>8</v>
      </c>
      <c r="H30" s="103">
        <f>SUM(H27:H29)</f>
        <v>10</v>
      </c>
      <c r="I30" s="94"/>
    </row>
    <row r="31" spans="1:9" x14ac:dyDescent="0.25">
      <c r="A31" s="94"/>
      <c r="B31" s="94"/>
      <c r="C31" s="94"/>
      <c r="D31" s="95" t="s">
        <v>17</v>
      </c>
      <c r="E31" s="104">
        <f>SUMPRODUCT(E20:H22,E27:H29)</f>
        <v>1664</v>
      </c>
      <c r="F31" s="94"/>
      <c r="G31" s="94"/>
      <c r="H31" s="94"/>
      <c r="I31" s="94"/>
    </row>
  </sheetData>
  <mergeCells count="6">
    <mergeCell ref="E25:H25"/>
    <mergeCell ref="E1:H1"/>
    <mergeCell ref="C3:C5"/>
    <mergeCell ref="E8:H8"/>
    <mergeCell ref="E18:H18"/>
    <mergeCell ref="C20:C22"/>
  </mergeCells>
  <phoneticPr fontId="3" type="noConversion"/>
  <printOptions headings="1"/>
  <pageMargins left="0.74803149606299213" right="0.74803149606299213" top="0.98425196850393704" bottom="0.98425196850393704" header="0.51181102362204722" footer="0.51181102362204722"/>
  <pageSetup paperSize="9" orientation="portrait" blackAndWhite="1"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C8650-1093-44B2-8DAD-082F1BA68826}">
  <dimension ref="A1:E17"/>
  <sheetViews>
    <sheetView showGridLines="0" zoomScale="90" zoomScaleNormal="90" workbookViewId="0">
      <selection activeCell="K27" sqref="K27"/>
    </sheetView>
  </sheetViews>
  <sheetFormatPr defaultColWidth="9" defaultRowHeight="14.4" x14ac:dyDescent="0.25"/>
  <cols>
    <col min="1" max="1" width="18.69921875" style="107" bestFit="1" customWidth="1"/>
    <col min="2" max="2" width="8.19921875" style="107" customWidth="1"/>
    <col min="3" max="3" width="2.5" style="107" customWidth="1"/>
    <col min="4" max="4" width="9" style="107"/>
    <col min="5" max="5" width="9.5" style="107" bestFit="1" customWidth="1"/>
    <col min="6" max="6" width="2.59765625" style="107" customWidth="1"/>
    <col min="7" max="16384" width="9" style="107"/>
  </cols>
  <sheetData>
    <row r="1" spans="1:5" ht="27.15" customHeight="1" x14ac:dyDescent="0.25">
      <c r="A1" s="105" t="s">
        <v>63</v>
      </c>
      <c r="B1" s="106">
        <v>12000</v>
      </c>
      <c r="D1" s="161" t="s">
        <v>80</v>
      </c>
      <c r="E1" s="161"/>
    </row>
    <row r="2" spans="1:5" x14ac:dyDescent="0.25">
      <c r="A2" s="105" t="s">
        <v>64</v>
      </c>
      <c r="B2" s="106">
        <v>300</v>
      </c>
      <c r="E2" s="108">
        <f>B8</f>
        <v>12200</v>
      </c>
    </row>
    <row r="3" spans="1:5" x14ac:dyDescent="0.25">
      <c r="A3" s="105" t="s">
        <v>65</v>
      </c>
      <c r="B3" s="106">
        <v>20</v>
      </c>
      <c r="D3" s="109">
        <v>100</v>
      </c>
      <c r="E3" s="110">
        <f t="dataTable" ref="E3:E12" dt2D="0" dtr="0" r1="B5"/>
        <v>37000</v>
      </c>
    </row>
    <row r="4" spans="1:5" x14ac:dyDescent="0.25">
      <c r="D4" s="111">
        <v>200</v>
      </c>
      <c r="E4" s="112">
        <v>20000</v>
      </c>
    </row>
    <row r="5" spans="1:5" x14ac:dyDescent="0.25">
      <c r="A5" s="105" t="s">
        <v>76</v>
      </c>
      <c r="B5" s="149">
        <v>500</v>
      </c>
      <c r="D5" s="111">
        <v>300</v>
      </c>
      <c r="E5" s="112">
        <v>15000</v>
      </c>
    </row>
    <row r="6" spans="1:5" x14ac:dyDescent="0.25">
      <c r="A6" s="105" t="s">
        <v>77</v>
      </c>
      <c r="B6" s="108">
        <f>B2*B1/B5</f>
        <v>7200</v>
      </c>
      <c r="D6" s="109">
        <v>400</v>
      </c>
      <c r="E6" s="112">
        <v>13000</v>
      </c>
    </row>
    <row r="7" spans="1:5" x14ac:dyDescent="0.25">
      <c r="A7" s="105" t="s">
        <v>78</v>
      </c>
      <c r="B7" s="108">
        <f>B3*B5/2</f>
        <v>5000</v>
      </c>
      <c r="D7" s="111">
        <v>500</v>
      </c>
      <c r="E7" s="112">
        <v>12200</v>
      </c>
    </row>
    <row r="8" spans="1:5" x14ac:dyDescent="0.25">
      <c r="A8" s="105" t="s">
        <v>79</v>
      </c>
      <c r="B8" s="108">
        <f>SUM(B6:B7)</f>
        <v>12200</v>
      </c>
      <c r="D8" s="111">
        <v>600</v>
      </c>
      <c r="E8" s="112">
        <v>12000</v>
      </c>
    </row>
    <row r="9" spans="1:5" x14ac:dyDescent="0.25">
      <c r="D9" s="109">
        <v>700</v>
      </c>
      <c r="E9" s="113">
        <v>12142.857142857143</v>
      </c>
    </row>
    <row r="10" spans="1:5" x14ac:dyDescent="0.25">
      <c r="A10" s="105" t="s">
        <v>110</v>
      </c>
      <c r="B10" s="114">
        <f>SQRT(2*B2*B1/B3)</f>
        <v>600</v>
      </c>
      <c r="D10" s="111">
        <v>800</v>
      </c>
      <c r="E10" s="112">
        <v>12500</v>
      </c>
    </row>
    <row r="11" spans="1:5" x14ac:dyDescent="0.25">
      <c r="A11" s="105" t="s">
        <v>111</v>
      </c>
      <c r="B11" s="114">
        <f>2*B2*B1/B10</f>
        <v>12000</v>
      </c>
      <c r="D11" s="111">
        <v>900</v>
      </c>
      <c r="E11" s="112">
        <v>13000</v>
      </c>
    </row>
    <row r="12" spans="1:5" x14ac:dyDescent="0.25">
      <c r="D12" s="109">
        <v>1000</v>
      </c>
      <c r="E12" s="115">
        <v>13600</v>
      </c>
    </row>
    <row r="14" spans="1:5" x14ac:dyDescent="0.25">
      <c r="D14" s="148" t="s">
        <v>81</v>
      </c>
    </row>
    <row r="15" spans="1:5" x14ac:dyDescent="0.25">
      <c r="D15" s="116">
        <f t="array" ref="D15:D17">B10</f>
        <v>600</v>
      </c>
      <c r="E15" s="117">
        <v>0</v>
      </c>
    </row>
    <row r="16" spans="1:5" x14ac:dyDescent="0.25">
      <c r="D16" s="118">
        <v>600</v>
      </c>
      <c r="E16" s="119">
        <f>B11</f>
        <v>12000</v>
      </c>
    </row>
    <row r="17" spans="4:5" x14ac:dyDescent="0.25">
      <c r="D17" s="120">
        <v>600</v>
      </c>
      <c r="E17" s="121">
        <v>40000</v>
      </c>
    </row>
  </sheetData>
  <mergeCells count="1">
    <mergeCell ref="D1:E1"/>
  </mergeCells>
  <phoneticPr fontId="3" type="noConversion"/>
  <printOptions headings="1"/>
  <pageMargins left="0.74803149606299213" right="0.74803149606299213" top="0.98425196850393704" bottom="0.98425196850393704" header="0.51181102362204722" footer="0.51181102362204722"/>
  <pageSetup paperSize="9" orientation="portrait" blackAndWhite="1"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A33B4-0685-4A9D-A05C-9ECC56220681}">
  <dimension ref="B2:I30"/>
  <sheetViews>
    <sheetView showGridLines="0" topLeftCell="A7" zoomScale="90" zoomScaleNormal="90" workbookViewId="0">
      <selection activeCell="L10" sqref="L10"/>
    </sheetView>
  </sheetViews>
  <sheetFormatPr defaultColWidth="9" defaultRowHeight="14.4" x14ac:dyDescent="0.25"/>
  <cols>
    <col min="1" max="1" width="2.5" style="150" customWidth="1"/>
    <col min="2" max="2" width="18" style="150" customWidth="1"/>
    <col min="3" max="4" width="6.59765625" style="150" customWidth="1"/>
    <col min="5" max="5" width="2.19921875" style="150" customWidth="1"/>
    <col min="6" max="6" width="9.09765625" style="150" customWidth="1"/>
    <col min="7" max="7" width="10.5" style="150" bestFit="1" customWidth="1"/>
    <col min="8" max="8" width="9.5" style="150" bestFit="1" customWidth="1"/>
    <col min="9" max="9" width="7.5" style="150" customWidth="1"/>
    <col min="10" max="10" width="2.5" style="150" customWidth="1"/>
    <col min="11" max="16384" width="9" style="150"/>
  </cols>
  <sheetData>
    <row r="2" spans="2:9" x14ac:dyDescent="0.25">
      <c r="B2" s="122" t="s">
        <v>9</v>
      </c>
      <c r="C2" s="123"/>
      <c r="D2" s="124">
        <v>1600</v>
      </c>
      <c r="F2" s="152" t="s">
        <v>82</v>
      </c>
    </row>
    <row r="3" spans="2:9" x14ac:dyDescent="0.25">
      <c r="B3" s="122" t="s">
        <v>10</v>
      </c>
      <c r="C3" s="123"/>
      <c r="D3" s="125">
        <v>25</v>
      </c>
      <c r="G3" s="155" t="str">
        <f>C5</f>
        <v>自制</v>
      </c>
      <c r="H3" s="155" t="str">
        <f>D5</f>
        <v>购买</v>
      </c>
      <c r="I3" s="155" t="s">
        <v>8</v>
      </c>
    </row>
    <row r="4" spans="2:9" x14ac:dyDescent="0.25">
      <c r="B4" s="122" t="s">
        <v>11</v>
      </c>
      <c r="C4" s="123"/>
      <c r="D4" s="125">
        <v>1000</v>
      </c>
      <c r="G4" s="126">
        <f>C9</f>
        <v>25800</v>
      </c>
      <c r="H4" s="126">
        <f>D9</f>
        <v>20200</v>
      </c>
      <c r="I4" s="129">
        <f>G4-H4</f>
        <v>5600</v>
      </c>
    </row>
    <row r="5" spans="2:9" x14ac:dyDescent="0.25">
      <c r="C5" s="155" t="s">
        <v>12</v>
      </c>
      <c r="D5" s="155" t="s">
        <v>13</v>
      </c>
      <c r="F5" s="127">
        <v>500</v>
      </c>
      <c r="G5" s="128">
        <f t="dataTable" ref="G5:H8" dt2D="0" dtr="0" r1="D2"/>
        <v>17000</v>
      </c>
      <c r="H5" s="128">
        <v>8500</v>
      </c>
      <c r="I5" s="129">
        <f>G5-H5</f>
        <v>8500</v>
      </c>
    </row>
    <row r="6" spans="2:9" x14ac:dyDescent="0.25">
      <c r="B6" s="130" t="s">
        <v>14</v>
      </c>
      <c r="C6" s="125">
        <v>8</v>
      </c>
      <c r="D6" s="125">
        <f>IF(D2&lt;1500,15,12)</f>
        <v>12</v>
      </c>
      <c r="F6" s="131">
        <f>1500-0.001</f>
        <v>1499.999</v>
      </c>
      <c r="G6" s="128">
        <v>24999.991999999998</v>
      </c>
      <c r="H6" s="128">
        <v>23499.985000000001</v>
      </c>
      <c r="I6" s="129">
        <f>G6-H6</f>
        <v>1500.0069999999978</v>
      </c>
    </row>
    <row r="7" spans="2:9" x14ac:dyDescent="0.25">
      <c r="B7" s="130" t="s">
        <v>15</v>
      </c>
      <c r="C7" s="125">
        <v>12000</v>
      </c>
      <c r="D7" s="154"/>
      <c r="F7" s="132">
        <v>1500</v>
      </c>
      <c r="G7" s="128">
        <v>25000</v>
      </c>
      <c r="H7" s="128">
        <v>19000</v>
      </c>
      <c r="I7" s="129">
        <f>G7-H7</f>
        <v>6000</v>
      </c>
    </row>
    <row r="8" spans="2:9" x14ac:dyDescent="0.25">
      <c r="B8" s="130" t="s">
        <v>16</v>
      </c>
      <c r="C8" s="125">
        <f>$D$3-C6</f>
        <v>17</v>
      </c>
      <c r="D8" s="125">
        <f>$D$3-D6</f>
        <v>13</v>
      </c>
      <c r="F8" s="133">
        <v>4000</v>
      </c>
      <c r="G8" s="134">
        <v>45000</v>
      </c>
      <c r="H8" s="134">
        <v>49000</v>
      </c>
      <c r="I8" s="129">
        <f>G8-H8</f>
        <v>-4000</v>
      </c>
    </row>
    <row r="9" spans="2:9" x14ac:dyDescent="0.25">
      <c r="B9" s="130" t="s">
        <v>17</v>
      </c>
      <c r="C9" s="126">
        <f>C6*D2+D4+C7</f>
        <v>25800</v>
      </c>
      <c r="D9" s="126">
        <f>D6*D2+D4</f>
        <v>20200</v>
      </c>
      <c r="F9" s="153"/>
    </row>
    <row r="10" spans="2:9" x14ac:dyDescent="0.25">
      <c r="B10" s="130" t="s">
        <v>18</v>
      </c>
      <c r="C10" s="126">
        <f>D2*D3</f>
        <v>40000</v>
      </c>
      <c r="D10" s="126">
        <f>D2*D3</f>
        <v>40000</v>
      </c>
      <c r="F10" s="152" t="s">
        <v>84</v>
      </c>
    </row>
    <row r="11" spans="2:9" ht="15" thickBot="1" x14ac:dyDescent="0.3">
      <c r="B11" s="135" t="s">
        <v>19</v>
      </c>
      <c r="C11" s="136">
        <f>C10-C9</f>
        <v>14200</v>
      </c>
      <c r="D11" s="136">
        <f>D8*D2-D4</f>
        <v>19800</v>
      </c>
      <c r="F11" s="126"/>
      <c r="G11" s="126"/>
      <c r="H11" s="126"/>
      <c r="I11" s="126"/>
    </row>
    <row r="12" spans="2:9" ht="15" thickTop="1" x14ac:dyDescent="0.25">
      <c r="B12" s="130" t="s">
        <v>112</v>
      </c>
      <c r="C12" s="137">
        <f>ROUND(($D$4+C7)/C8,0)</f>
        <v>765</v>
      </c>
      <c r="F12" s="138"/>
      <c r="G12" s="138"/>
      <c r="H12" s="138"/>
      <c r="I12" s="126"/>
    </row>
    <row r="13" spans="2:9" ht="28.8" x14ac:dyDescent="0.25">
      <c r="B13" s="139" t="s">
        <v>113</v>
      </c>
      <c r="C13" s="137">
        <f>C12*C8-D4-C7</f>
        <v>5</v>
      </c>
      <c r="F13" s="126"/>
      <c r="G13" s="126"/>
      <c r="H13" s="126"/>
      <c r="I13" s="126"/>
    </row>
    <row r="14" spans="2:9" ht="17.7" customHeight="1" x14ac:dyDescent="0.25">
      <c r="B14" s="130" t="s">
        <v>20</v>
      </c>
      <c r="C14" s="151" t="str">
        <f>IF(I4&gt;0,"购买",IF(I4=0,"皆可","外购"))</f>
        <v>购买</v>
      </c>
    </row>
    <row r="18" spans="2:9" x14ac:dyDescent="0.25">
      <c r="B18" s="122" t="s">
        <v>9</v>
      </c>
      <c r="C18" s="123"/>
      <c r="D18" s="124">
        <v>1500</v>
      </c>
      <c r="F18" s="152" t="s">
        <v>82</v>
      </c>
    </row>
    <row r="19" spans="2:9" x14ac:dyDescent="0.25">
      <c r="B19" s="122" t="s">
        <v>10</v>
      </c>
      <c r="C19" s="123"/>
      <c r="D19" s="125">
        <v>25</v>
      </c>
      <c r="G19" s="155" t="str">
        <f>C21</f>
        <v>自制</v>
      </c>
      <c r="H19" s="155" t="str">
        <f>D21</f>
        <v>购买</v>
      </c>
      <c r="I19" s="155" t="s">
        <v>8</v>
      </c>
    </row>
    <row r="20" spans="2:9" x14ac:dyDescent="0.25">
      <c r="B20" s="122" t="s">
        <v>11</v>
      </c>
      <c r="C20" s="123"/>
      <c r="D20" s="125">
        <v>1000</v>
      </c>
      <c r="G20" s="126">
        <f>C25</f>
        <v>25000</v>
      </c>
      <c r="H20" s="126">
        <f>D25</f>
        <v>19000</v>
      </c>
      <c r="I20" s="129">
        <f>G20-H20</f>
        <v>6000</v>
      </c>
    </row>
    <row r="21" spans="2:9" x14ac:dyDescent="0.25">
      <c r="C21" s="155" t="s">
        <v>12</v>
      </c>
      <c r="D21" s="155" t="s">
        <v>13</v>
      </c>
      <c r="F21" s="127">
        <v>500</v>
      </c>
      <c r="G21" s="128">
        <f t="dataTable" ref="G21:I24" dt2D="0" dtr="0" r1="D18"/>
        <v>17000</v>
      </c>
      <c r="H21" s="128">
        <v>8500</v>
      </c>
      <c r="I21" s="129">
        <v>8500</v>
      </c>
    </row>
    <row r="22" spans="2:9" x14ac:dyDescent="0.25">
      <c r="B22" s="130" t="s">
        <v>14</v>
      </c>
      <c r="C22" s="125">
        <v>8</v>
      </c>
      <c r="D22" s="125">
        <f>IF(D18&lt;1500,15,12)</f>
        <v>12</v>
      </c>
      <c r="F22" s="131">
        <v>1499.999</v>
      </c>
      <c r="G22" s="128">
        <v>24999.991999999998</v>
      </c>
      <c r="H22" s="128">
        <v>23499.985000000001</v>
      </c>
      <c r="I22" s="129">
        <v>1500.0069999999978</v>
      </c>
    </row>
    <row r="23" spans="2:9" x14ac:dyDescent="0.25">
      <c r="B23" s="130" t="s">
        <v>15</v>
      </c>
      <c r="C23" s="125">
        <v>12000</v>
      </c>
      <c r="D23" s="154">
        <v>0</v>
      </c>
      <c r="F23" s="132">
        <v>1400</v>
      </c>
      <c r="G23" s="128">
        <v>24200</v>
      </c>
      <c r="H23" s="128">
        <v>22000</v>
      </c>
      <c r="I23" s="129">
        <v>2200</v>
      </c>
    </row>
    <row r="24" spans="2:9" x14ac:dyDescent="0.25">
      <c r="B24" s="130" t="s">
        <v>16</v>
      </c>
      <c r="C24" s="125">
        <f>D19-C22</f>
        <v>17</v>
      </c>
      <c r="D24" s="125">
        <f>D19-D22</f>
        <v>13</v>
      </c>
      <c r="F24" s="133">
        <v>4000</v>
      </c>
      <c r="G24" s="134">
        <v>45000</v>
      </c>
      <c r="H24" s="134">
        <v>49000</v>
      </c>
      <c r="I24" s="129">
        <v>-4000</v>
      </c>
    </row>
    <row r="25" spans="2:9" x14ac:dyDescent="0.25">
      <c r="B25" s="130" t="s">
        <v>17</v>
      </c>
      <c r="C25" s="126">
        <f>$D$20+$C$23+$D$18*C22</f>
        <v>25000</v>
      </c>
      <c r="D25" s="126">
        <f>D18*D22+D20</f>
        <v>19000</v>
      </c>
      <c r="F25" s="153"/>
    </row>
    <row r="26" spans="2:9" x14ac:dyDescent="0.25">
      <c r="B26" s="130" t="s">
        <v>18</v>
      </c>
      <c r="C26" s="126">
        <f>D19*D18</f>
        <v>37500</v>
      </c>
      <c r="D26" s="126">
        <f>D18*D19</f>
        <v>37500</v>
      </c>
      <c r="F26" s="152" t="s">
        <v>84</v>
      </c>
    </row>
    <row r="27" spans="2:9" ht="15" thickBot="1" x14ac:dyDescent="0.3">
      <c r="B27" s="135" t="s">
        <v>19</v>
      </c>
      <c r="C27" s="136">
        <f>C26-C25</f>
        <v>12500</v>
      </c>
      <c r="D27" s="136">
        <f>D26-D25</f>
        <v>18500</v>
      </c>
      <c r="F27" s="126"/>
      <c r="G27" s="126"/>
      <c r="H27" s="126"/>
      <c r="I27" s="126"/>
    </row>
    <row r="28" spans="2:9" ht="15" thickTop="1" x14ac:dyDescent="0.25">
      <c r="B28" s="130" t="s">
        <v>112</v>
      </c>
      <c r="C28" s="137">
        <f>(D20+C23)/(D19-C22)</f>
        <v>764.70588235294122</v>
      </c>
      <c r="F28" s="138"/>
      <c r="G28" s="138"/>
      <c r="H28" s="138"/>
      <c r="I28" s="126"/>
    </row>
    <row r="29" spans="2:9" ht="28.8" x14ac:dyDescent="0.25">
      <c r="B29" s="139" t="s">
        <v>113</v>
      </c>
      <c r="C29" s="137">
        <f>C28*(D19-C22)-D20-C23</f>
        <v>0</v>
      </c>
      <c r="F29" s="126"/>
      <c r="G29" s="126"/>
      <c r="H29" s="126"/>
      <c r="I29" s="126"/>
    </row>
    <row r="30" spans="2:9" x14ac:dyDescent="0.25">
      <c r="B30" s="130" t="s">
        <v>20</v>
      </c>
      <c r="C30" s="151" t="str">
        <f>IF(I20=0,"皆可",IF(I20&gt;0,"购买","自制"))</f>
        <v>购买</v>
      </c>
    </row>
  </sheetData>
  <phoneticPr fontId="3" type="noConversion"/>
  <printOptions headings="1"/>
  <pageMargins left="0.74803149606299213" right="0.74803149606299213" top="0.98425196850393704" bottom="0.98425196850393704" header="0.51181102362204722" footer="0.51181102362204722"/>
  <pageSetup paperSize="9" orientation="portrait" blackAndWhite="1"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pinner 1">
              <controlPr defaultSize="0" autoPict="0">
                <anchor moveWithCells="1" sizeWithCells="1">
                  <from>
                    <xdr:col>10</xdr:col>
                    <xdr:colOff>22860</xdr:colOff>
                    <xdr:row>2</xdr:row>
                    <xdr:rowOff>160020</xdr:rowOff>
                  </from>
                  <to>
                    <xdr:col>10</xdr:col>
                    <xdr:colOff>579120</xdr:colOff>
                    <xdr:row>4</xdr:row>
                    <xdr:rowOff>175260</xdr:rowOff>
                  </to>
                </anchor>
              </controlPr>
            </control>
          </mc:Choice>
        </mc:AlternateContent>
        <mc:AlternateContent xmlns:mc="http://schemas.openxmlformats.org/markup-compatibility/2006">
          <mc:Choice Requires="x14">
            <control shapeId="16386" r:id="rId5" name="Spinner 2">
              <controlPr defaultSize="0" autoPict="0">
                <anchor moveWithCells="1" sizeWithCells="1">
                  <from>
                    <xdr:col>9</xdr:col>
                    <xdr:colOff>68580</xdr:colOff>
                    <xdr:row>19</xdr:row>
                    <xdr:rowOff>30480</xdr:rowOff>
                  </from>
                  <to>
                    <xdr:col>10</xdr:col>
                    <xdr:colOff>297180</xdr:colOff>
                    <xdr:row>21</xdr:row>
                    <xdr:rowOff>160020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I64"/>
  <sheetViews>
    <sheetView showGridLines="0" topLeftCell="A31" zoomScaleNormal="100" workbookViewId="0">
      <selection activeCell="D50" sqref="D50"/>
    </sheetView>
  </sheetViews>
  <sheetFormatPr defaultColWidth="9" defaultRowHeight="14.4" x14ac:dyDescent="0.25"/>
  <cols>
    <col min="1" max="1" width="1.69921875" style="1" customWidth="1"/>
    <col min="2" max="2" width="25.19921875" style="1" customWidth="1"/>
    <col min="3" max="3" width="16.09765625" style="1" customWidth="1"/>
    <col min="4" max="4" width="17.19921875" style="1" customWidth="1"/>
    <col min="5" max="5" width="1.69921875" style="1" customWidth="1"/>
    <col min="6" max="6" width="5.09765625" style="1" customWidth="1"/>
    <col min="7" max="7" width="8.59765625" style="1" customWidth="1"/>
    <col min="8" max="8" width="9.19921875" style="1" customWidth="1"/>
    <col min="9" max="9" width="11.09765625" style="1" customWidth="1"/>
    <col min="10" max="10" width="1.69921875" style="1" customWidth="1"/>
    <col min="11" max="16384" width="9" style="1"/>
  </cols>
  <sheetData>
    <row r="2" spans="2:8" x14ac:dyDescent="0.25">
      <c r="B2" s="3"/>
      <c r="C2" s="40" t="s">
        <v>35</v>
      </c>
      <c r="D2" s="40" t="s">
        <v>36</v>
      </c>
      <c r="F2" s="166" t="s">
        <v>88</v>
      </c>
      <c r="G2" s="166"/>
      <c r="H2" s="166"/>
    </row>
    <row r="3" spans="2:8" x14ac:dyDescent="0.25">
      <c r="B3" s="40" t="s">
        <v>37</v>
      </c>
      <c r="C3" s="4">
        <v>0.06</v>
      </c>
      <c r="D3" s="5"/>
      <c r="F3" s="40"/>
      <c r="G3" s="58" t="s">
        <v>85</v>
      </c>
      <c r="H3" s="58" t="s">
        <v>86</v>
      </c>
    </row>
    <row r="4" spans="2:8" x14ac:dyDescent="0.25">
      <c r="B4" s="40" t="s">
        <v>38</v>
      </c>
      <c r="C4" s="17">
        <v>10</v>
      </c>
      <c r="D4" s="2"/>
      <c r="F4" s="45">
        <v>0</v>
      </c>
      <c r="G4" s="37">
        <v>-500</v>
      </c>
      <c r="H4" s="48">
        <v>-500</v>
      </c>
    </row>
    <row r="5" spans="2:8" x14ac:dyDescent="0.25">
      <c r="B5" s="40" t="s">
        <v>39</v>
      </c>
      <c r="C5" s="17">
        <v>500</v>
      </c>
      <c r="D5" s="17">
        <v>500</v>
      </c>
      <c r="F5" s="46">
        <v>1</v>
      </c>
      <c r="G5" s="38">
        <f>C6</f>
        <v>30</v>
      </c>
      <c r="H5" s="49">
        <f>D7</f>
        <v>20</v>
      </c>
    </row>
    <row r="6" spans="2:8" x14ac:dyDescent="0.25">
      <c r="B6" s="40" t="s">
        <v>40</v>
      </c>
      <c r="C6" s="17">
        <v>30</v>
      </c>
      <c r="D6" s="2"/>
      <c r="F6" s="46">
        <v>2</v>
      </c>
      <c r="G6" s="38">
        <f>G5</f>
        <v>30</v>
      </c>
      <c r="H6" s="49">
        <f>H5*(1+$D$8)</f>
        <v>20.399999999999999</v>
      </c>
    </row>
    <row r="7" spans="2:8" x14ac:dyDescent="0.25">
      <c r="B7" s="40" t="s">
        <v>41</v>
      </c>
      <c r="C7" s="2"/>
      <c r="D7" s="17">
        <v>20</v>
      </c>
      <c r="F7" s="46">
        <v>3</v>
      </c>
      <c r="G7" s="38">
        <f t="shared" ref="G7:G13" si="0">G6</f>
        <v>30</v>
      </c>
      <c r="H7" s="49">
        <f t="shared" ref="H7:H13" si="1">H6*(1+$D$8)</f>
        <v>20.808</v>
      </c>
    </row>
    <row r="8" spans="2:8" x14ac:dyDescent="0.25">
      <c r="B8" s="40" t="s">
        <v>42</v>
      </c>
      <c r="C8" s="2"/>
      <c r="D8" s="41">
        <v>0.02</v>
      </c>
      <c r="F8" s="46">
        <v>4</v>
      </c>
      <c r="G8" s="38">
        <f t="shared" si="0"/>
        <v>30</v>
      </c>
      <c r="H8" s="49">
        <f t="shared" si="1"/>
        <v>21.224160000000001</v>
      </c>
    </row>
    <row r="9" spans="2:8" x14ac:dyDescent="0.25">
      <c r="B9" s="40" t="s">
        <v>43</v>
      </c>
      <c r="C9" s="17">
        <v>500</v>
      </c>
      <c r="D9" s="17">
        <v>600</v>
      </c>
      <c r="F9" s="46">
        <v>5</v>
      </c>
      <c r="G9" s="38">
        <f t="shared" si="0"/>
        <v>30</v>
      </c>
      <c r="H9" s="49">
        <f t="shared" si="1"/>
        <v>21.648643200000002</v>
      </c>
    </row>
    <row r="10" spans="2:8" x14ac:dyDescent="0.25">
      <c r="B10" s="40" t="s">
        <v>44</v>
      </c>
      <c r="C10" s="42">
        <f>NPV(C3,G5:G14)-C5</f>
        <v>0</v>
      </c>
      <c r="D10" s="43">
        <f>NPV($C$3,H5:H14)-D5</f>
        <v>-5.3031924578024245</v>
      </c>
      <c r="F10" s="46">
        <v>6</v>
      </c>
      <c r="G10" s="38">
        <f t="shared" si="0"/>
        <v>30</v>
      </c>
      <c r="H10" s="49">
        <f t="shared" si="1"/>
        <v>22.081616064000002</v>
      </c>
    </row>
    <row r="11" spans="2:8" ht="15.6" x14ac:dyDescent="0.25">
      <c r="B11" s="40" t="s">
        <v>45</v>
      </c>
      <c r="C11" s="162" t="str">
        <f>IF(C10&gt;D10,"项目A优","项目B优")</f>
        <v>项目A优</v>
      </c>
      <c r="D11" s="163"/>
      <c r="F11" s="46">
        <v>7</v>
      </c>
      <c r="G11" s="38">
        <f t="shared" si="0"/>
        <v>30</v>
      </c>
      <c r="H11" s="49">
        <f t="shared" si="1"/>
        <v>22.523248385280002</v>
      </c>
    </row>
    <row r="12" spans="2:8" x14ac:dyDescent="0.25">
      <c r="B12" s="40" t="s">
        <v>46</v>
      </c>
      <c r="C12" s="44">
        <f>IRR(G4:G14)</f>
        <v>6.0000000009244658E-2</v>
      </c>
      <c r="D12" s="44">
        <f>IRR(H4:H14)</f>
        <v>5.8663287166868416E-2</v>
      </c>
      <c r="F12" s="46">
        <v>8</v>
      </c>
      <c r="G12" s="38">
        <f t="shared" si="0"/>
        <v>30</v>
      </c>
      <c r="H12" s="49">
        <f t="shared" si="1"/>
        <v>22.973713352985602</v>
      </c>
    </row>
    <row r="13" spans="2:8" x14ac:dyDescent="0.25">
      <c r="B13" s="40" t="s">
        <v>47</v>
      </c>
      <c r="C13" s="164">
        <f>IRR(G4:G14-H4:H14)</f>
        <v>4.2122394272950059E-2</v>
      </c>
      <c r="D13" s="165"/>
      <c r="F13" s="46">
        <v>9</v>
      </c>
      <c r="G13" s="38">
        <f t="shared" si="0"/>
        <v>30</v>
      </c>
      <c r="H13" s="49">
        <f t="shared" si="1"/>
        <v>23.433187620045313</v>
      </c>
    </row>
    <row r="14" spans="2:8" x14ac:dyDescent="0.25">
      <c r="B14" s="40" t="s">
        <v>48</v>
      </c>
      <c r="C14" s="164">
        <f>C18</f>
        <v>4.2238416903614948E-2</v>
      </c>
      <c r="D14" s="165"/>
      <c r="F14" s="47">
        <v>10</v>
      </c>
      <c r="G14" s="38">
        <f>G13+C9</f>
        <v>530</v>
      </c>
      <c r="H14" s="49">
        <f>H13*1.02+D9</f>
        <v>623.90185137244623</v>
      </c>
    </row>
    <row r="16" spans="2:8" x14ac:dyDescent="0.25">
      <c r="C16" s="1" t="s">
        <v>83</v>
      </c>
      <c r="F16" s="15" t="s">
        <v>87</v>
      </c>
    </row>
    <row r="17" spans="3:9" x14ac:dyDescent="0.25">
      <c r="C17" s="14">
        <f>INDEX(F18:F32,MATCH(D18,I18:I32,1),1)</f>
        <v>0.04</v>
      </c>
      <c r="D17" s="14">
        <f>INDEX(I18:I32,MATCH(D18,I18:I32,1),1)</f>
        <v>-0.72059135488416359</v>
      </c>
      <c r="G17" s="57">
        <f>C10</f>
        <v>0</v>
      </c>
      <c r="H17" s="57">
        <f>D10</f>
        <v>-5.3031924578024245</v>
      </c>
      <c r="I17" s="145">
        <f>G17-H17</f>
        <v>5.3031924578024245</v>
      </c>
    </row>
    <row r="18" spans="3:9" x14ac:dyDescent="0.25">
      <c r="C18" s="53">
        <f>C17+(D18-D17)/(D19-D17)*(C19-C17)</f>
        <v>4.2238416903614948E-2</v>
      </c>
      <c r="D18" s="14">
        <v>0</v>
      </c>
      <c r="F18" s="50">
        <v>0.01</v>
      </c>
      <c r="G18" s="54">
        <f>NPV(F18,G5:G14)-C5</f>
        <v>236.78261326754182</v>
      </c>
      <c r="H18" s="54">
        <f>NPV(F18,H5:H14)-D5</f>
        <v>250.2516653453763</v>
      </c>
      <c r="I18" s="145">
        <f t="shared" ref="I18:I32" si="2">G18-H18</f>
        <v>-13.469052077834476</v>
      </c>
    </row>
    <row r="19" spans="3:9" x14ac:dyDescent="0.25">
      <c r="C19" s="14">
        <f>INDEX(F18:F32,MATCH(D18,I18:I32,1)+1,1)</f>
        <v>0.05</v>
      </c>
      <c r="D19" s="14">
        <f>INDEX(I18:I32,MATCH(D18,I18:I32,1)+1,1)</f>
        <v>2.4986094728099033</v>
      </c>
      <c r="F19" s="51">
        <v>0.02</v>
      </c>
      <c r="G19" s="55">
        <f t="dataTable" ref="G19:H32" dt2D="0" dtr="0" r1="F18"/>
        <v>179.65170012484475</v>
      </c>
      <c r="H19" s="55">
        <v>188.28741129764217</v>
      </c>
      <c r="I19" s="145">
        <f t="shared" si="2"/>
        <v>-8.6357111727974143</v>
      </c>
    </row>
    <row r="20" spans="3:9" x14ac:dyDescent="0.25">
      <c r="F20" s="51">
        <v>0.03</v>
      </c>
      <c r="G20" s="55">
        <v>127.95304255163728</v>
      </c>
      <c r="H20" s="55">
        <v>132.36368851571171</v>
      </c>
      <c r="I20" s="145">
        <f t="shared" si="2"/>
        <v>-4.4106459640744333</v>
      </c>
    </row>
    <row r="21" spans="3:9" x14ac:dyDescent="0.25">
      <c r="D21" s="144"/>
      <c r="F21" s="51">
        <v>0.04</v>
      </c>
      <c r="G21" s="55">
        <v>81.108957793550076</v>
      </c>
      <c r="H21" s="55">
        <v>81.829549148434239</v>
      </c>
      <c r="I21" s="145">
        <f t="shared" si="2"/>
        <v>-0.72059135488416359</v>
      </c>
    </row>
    <row r="22" spans="3:9" x14ac:dyDescent="0.25">
      <c r="F22" s="51">
        <v>0.05</v>
      </c>
      <c r="G22" s="55">
        <v>38.608674645923884</v>
      </c>
      <c r="H22" s="55">
        <v>36.110065173113981</v>
      </c>
      <c r="I22" s="145">
        <f t="shared" si="2"/>
        <v>2.4986094728099033</v>
      </c>
    </row>
    <row r="23" spans="3:9" x14ac:dyDescent="0.25">
      <c r="F23" s="51">
        <v>0.06</v>
      </c>
      <c r="G23" s="55">
        <v>0</v>
      </c>
      <c r="H23" s="55">
        <v>-5.3031924578024245</v>
      </c>
      <c r="I23" s="145">
        <f t="shared" si="2"/>
        <v>5.3031924578024245</v>
      </c>
    </row>
    <row r="24" spans="3:9" x14ac:dyDescent="0.25">
      <c r="F24" s="51">
        <v>7.0000000000000007E-2</v>
      </c>
      <c r="G24" s="55">
        <v>-35.117907704663253</v>
      </c>
      <c r="H24" s="55">
        <v>-42.860404927371803</v>
      </c>
      <c r="I24" s="145">
        <f t="shared" si="2"/>
        <v>7.7424972227085505</v>
      </c>
    </row>
    <row r="25" spans="3:9" x14ac:dyDescent="0.25">
      <c r="F25" s="51">
        <v>0.08</v>
      </c>
      <c r="G25" s="55">
        <v>-67.100813989414689</v>
      </c>
      <c r="H25" s="55">
        <v>-76.960666266902308</v>
      </c>
      <c r="I25" s="145">
        <f t="shared" si="2"/>
        <v>9.8598522774876187</v>
      </c>
    </row>
    <row r="26" spans="3:9" x14ac:dyDescent="0.25">
      <c r="F26" s="51">
        <v>0.09</v>
      </c>
      <c r="G26" s="55">
        <v>-96.264865517385317</v>
      </c>
      <c r="H26" s="55">
        <v>-107.95820630582324</v>
      </c>
      <c r="I26" s="145">
        <f t="shared" si="2"/>
        <v>11.693340788437922</v>
      </c>
    </row>
    <row r="27" spans="3:9" x14ac:dyDescent="0.25">
      <c r="F27" s="51">
        <v>0.1</v>
      </c>
      <c r="G27" s="55">
        <v>-122.8913421140939</v>
      </c>
      <c r="H27" s="55">
        <v>-136.16780596253687</v>
      </c>
      <c r="I27" s="145">
        <f t="shared" si="2"/>
        <v>13.276463848442972</v>
      </c>
    </row>
    <row r="28" spans="3:9" x14ac:dyDescent="0.25">
      <c r="F28" s="51">
        <v>0.11</v>
      </c>
      <c r="G28" s="55">
        <v>-147.23080027853035</v>
      </c>
      <c r="H28" s="55">
        <v>-161.86951594306151</v>
      </c>
      <c r="I28" s="145">
        <f t="shared" si="2"/>
        <v>14.638715664531162</v>
      </c>
    </row>
    <row r="29" spans="3:9" x14ac:dyDescent="0.25">
      <c r="F29" s="51">
        <v>0.12</v>
      </c>
      <c r="G29" s="55">
        <v>-169.50669085232619</v>
      </c>
      <c r="H29" s="55">
        <v>-185.31277380392459</v>
      </c>
      <c r="I29" s="145">
        <f t="shared" si="2"/>
        <v>15.806082951598398</v>
      </c>
    </row>
    <row r="30" spans="3:9" x14ac:dyDescent="0.25">
      <c r="F30" s="51">
        <v>0.13</v>
      </c>
      <c r="G30" s="55">
        <v>-189.91852165835064</v>
      </c>
      <c r="H30" s="55">
        <v>-206.72000068091</v>
      </c>
      <c r="I30" s="145">
        <f t="shared" si="2"/>
        <v>16.801479022559363</v>
      </c>
    </row>
    <row r="31" spans="3:9" x14ac:dyDescent="0.25">
      <c r="F31" s="51">
        <v>0.14000000000000001</v>
      </c>
      <c r="G31" s="55">
        <v>-208.6446258517434</v>
      </c>
      <c r="H31" s="55">
        <v>-226.28974739393868</v>
      </c>
      <c r="I31" s="145">
        <f t="shared" si="2"/>
        <v>17.645121542195284</v>
      </c>
    </row>
    <row r="32" spans="3:9" x14ac:dyDescent="0.25">
      <c r="F32" s="52">
        <v>0.15</v>
      </c>
      <c r="G32" s="56">
        <v>-225.84458816344016</v>
      </c>
      <c r="H32" s="56">
        <v>-244.19944978389552</v>
      </c>
      <c r="I32" s="145">
        <f t="shared" si="2"/>
        <v>18.354861620455353</v>
      </c>
    </row>
    <row r="33" spans="2:9" x14ac:dyDescent="0.25">
      <c r="F33" s="6"/>
      <c r="G33" s="3"/>
      <c r="H33" s="3"/>
      <c r="I33" s="3"/>
    </row>
    <row r="34" spans="2:9" x14ac:dyDescent="0.25">
      <c r="B34" s="3"/>
      <c r="C34" s="40" t="s">
        <v>35</v>
      </c>
      <c r="D34" s="40" t="s">
        <v>36</v>
      </c>
      <c r="F34" s="166" t="s">
        <v>88</v>
      </c>
      <c r="G34" s="166"/>
      <c r="H34" s="166"/>
    </row>
    <row r="35" spans="2:9" x14ac:dyDescent="0.25">
      <c r="B35" s="40" t="s">
        <v>37</v>
      </c>
      <c r="C35" s="4">
        <v>0.06</v>
      </c>
      <c r="D35" s="5"/>
      <c r="F35" s="40"/>
      <c r="G35" s="58" t="s">
        <v>85</v>
      </c>
      <c r="H35" s="58" t="s">
        <v>86</v>
      </c>
    </row>
    <row r="36" spans="2:9" x14ac:dyDescent="0.25">
      <c r="B36" s="40" t="s">
        <v>38</v>
      </c>
      <c r="C36" s="17">
        <v>10</v>
      </c>
      <c r="D36" s="2">
        <v>10</v>
      </c>
      <c r="F36" s="45">
        <v>0</v>
      </c>
      <c r="G36" s="37">
        <f>-C37</f>
        <v>-500</v>
      </c>
      <c r="H36" s="48">
        <f>-D37</f>
        <v>-500</v>
      </c>
    </row>
    <row r="37" spans="2:9" x14ac:dyDescent="0.25">
      <c r="B37" s="40" t="s">
        <v>39</v>
      </c>
      <c r="C37" s="17">
        <v>500</v>
      </c>
      <c r="D37" s="17">
        <v>500</v>
      </c>
      <c r="F37" s="46">
        <v>1</v>
      </c>
      <c r="G37" s="38">
        <f>$C$38</f>
        <v>30</v>
      </c>
      <c r="H37" s="49">
        <f>$D$39</f>
        <v>20</v>
      </c>
    </row>
    <row r="38" spans="2:9" x14ac:dyDescent="0.25">
      <c r="B38" s="40" t="s">
        <v>40</v>
      </c>
      <c r="C38" s="17">
        <v>30</v>
      </c>
      <c r="D38" s="2"/>
      <c r="F38" s="45">
        <v>2</v>
      </c>
      <c r="G38" s="38">
        <f t="shared" ref="G38:G45" si="3">$C$38</f>
        <v>30</v>
      </c>
      <c r="H38" s="49">
        <f>H37*(1+$D$40)</f>
        <v>20.399999999999999</v>
      </c>
    </row>
    <row r="39" spans="2:9" x14ac:dyDescent="0.25">
      <c r="B39" s="40" t="s">
        <v>41</v>
      </c>
      <c r="C39" s="2"/>
      <c r="D39" s="17">
        <v>20</v>
      </c>
      <c r="F39" s="46">
        <v>3</v>
      </c>
      <c r="G39" s="38">
        <f t="shared" si="3"/>
        <v>30</v>
      </c>
      <c r="H39" s="49">
        <f t="shared" ref="H39:H45" si="4">H38*(1+$D$40)</f>
        <v>20.808</v>
      </c>
    </row>
    <row r="40" spans="2:9" x14ac:dyDescent="0.25">
      <c r="B40" s="40" t="s">
        <v>42</v>
      </c>
      <c r="C40" s="5"/>
      <c r="D40" s="41">
        <v>0.02</v>
      </c>
      <c r="F40" s="45">
        <v>4</v>
      </c>
      <c r="G40" s="38">
        <f t="shared" si="3"/>
        <v>30</v>
      </c>
      <c r="H40" s="49">
        <f t="shared" si="4"/>
        <v>21.224160000000001</v>
      </c>
    </row>
    <row r="41" spans="2:9" x14ac:dyDescent="0.25">
      <c r="B41" s="40" t="s">
        <v>43</v>
      </c>
      <c r="C41" s="17">
        <v>500</v>
      </c>
      <c r="D41" s="17">
        <v>600</v>
      </c>
      <c r="F41" s="46">
        <v>5</v>
      </c>
      <c r="G41" s="38">
        <f t="shared" si="3"/>
        <v>30</v>
      </c>
      <c r="H41" s="49">
        <f t="shared" si="4"/>
        <v>21.648643200000002</v>
      </c>
    </row>
    <row r="42" spans="2:9" x14ac:dyDescent="0.25">
      <c r="B42" s="40" t="s">
        <v>44</v>
      </c>
      <c r="C42" s="42">
        <f>NPV(C35,G37:G46)-C37</f>
        <v>0</v>
      </c>
      <c r="D42" s="43">
        <f>NPV(C35,H37:H46)-D37</f>
        <v>-5.3031924578024245</v>
      </c>
      <c r="F42" s="45">
        <v>6</v>
      </c>
      <c r="G42" s="38">
        <f t="shared" si="3"/>
        <v>30</v>
      </c>
      <c r="H42" s="49">
        <f t="shared" si="4"/>
        <v>22.081616064000002</v>
      </c>
    </row>
    <row r="43" spans="2:9" ht="15.6" x14ac:dyDescent="0.25">
      <c r="B43" s="40" t="s">
        <v>45</v>
      </c>
      <c r="C43" s="162" t="str">
        <f>IF(C42&gt;D42,"项目A较优","项目B较优")</f>
        <v>项目A较优</v>
      </c>
      <c r="D43" s="163"/>
      <c r="F43" s="46">
        <v>7</v>
      </c>
      <c r="G43" s="38">
        <f t="shared" si="3"/>
        <v>30</v>
      </c>
      <c r="H43" s="49">
        <f t="shared" si="4"/>
        <v>22.523248385280002</v>
      </c>
    </row>
    <row r="44" spans="2:9" x14ac:dyDescent="0.25">
      <c r="B44" s="40" t="s">
        <v>46</v>
      </c>
      <c r="C44" s="44">
        <f>IRR(G36:G46)</f>
        <v>6.0000000009244658E-2</v>
      </c>
      <c r="D44" s="44">
        <f>IRR(H36:H46)</f>
        <v>5.8663287166868416E-2</v>
      </c>
      <c r="F44" s="45">
        <v>8</v>
      </c>
      <c r="G44" s="38">
        <f t="shared" si="3"/>
        <v>30</v>
      </c>
      <c r="H44" s="49">
        <f t="shared" si="4"/>
        <v>22.973713352985602</v>
      </c>
    </row>
    <row r="45" spans="2:9" x14ac:dyDescent="0.25">
      <c r="B45" s="40" t="s">
        <v>47</v>
      </c>
      <c r="C45" s="164">
        <f>IRR(G36:G46-H36:H46)</f>
        <v>4.2122394272950059E-2</v>
      </c>
      <c r="D45" s="165"/>
      <c r="F45" s="46">
        <v>9</v>
      </c>
      <c r="G45" s="38">
        <f t="shared" si="3"/>
        <v>30</v>
      </c>
      <c r="H45" s="49">
        <f t="shared" si="4"/>
        <v>23.433187620045313</v>
      </c>
    </row>
    <row r="46" spans="2:9" x14ac:dyDescent="0.25">
      <c r="B46" s="40" t="s">
        <v>48</v>
      </c>
      <c r="C46" s="164"/>
      <c r="D46" s="165"/>
      <c r="F46" s="45">
        <v>10</v>
      </c>
      <c r="G46" s="38">
        <f>C41+$G$38</f>
        <v>530</v>
      </c>
      <c r="H46" s="49">
        <f>600+H45*(1+D40)</f>
        <v>623.90185137244623</v>
      </c>
    </row>
    <row r="48" spans="2:9" x14ac:dyDescent="0.25">
      <c r="C48" s="1" t="s">
        <v>83</v>
      </c>
      <c r="F48" s="15" t="s">
        <v>87</v>
      </c>
    </row>
    <row r="49" spans="3:9" x14ac:dyDescent="0.25">
      <c r="C49" s="156">
        <f>F53</f>
        <v>0.04</v>
      </c>
      <c r="D49" s="57">
        <f>I53</f>
        <v>-0.72059135488416359</v>
      </c>
      <c r="G49" s="57">
        <f>C42</f>
        <v>0</v>
      </c>
      <c r="H49" s="57">
        <f>D42</f>
        <v>-5.3031924578024245</v>
      </c>
      <c r="I49" s="145">
        <f>G49-H49</f>
        <v>5.3031924578024245</v>
      </c>
    </row>
    <row r="50" spans="3:9" x14ac:dyDescent="0.25">
      <c r="C50" s="53">
        <f>C49+(D50-D49)/(D51-D49)*(C51-C49)</f>
        <v>4.2238416903614948E-2</v>
      </c>
      <c r="D50" s="14">
        <v>0</v>
      </c>
      <c r="F50" s="50">
        <v>0.01</v>
      </c>
      <c r="G50" s="54">
        <f t="dataTable" ref="G50:I64" dt2D="0" dtr="0" r1="C35"/>
        <v>236.78261326754182</v>
      </c>
      <c r="H50" s="54">
        <v>250.2516653453763</v>
      </c>
      <c r="I50" s="145">
        <v>-13.469052077834476</v>
      </c>
    </row>
    <row r="51" spans="3:9" x14ac:dyDescent="0.25">
      <c r="C51" s="156">
        <f>F54</f>
        <v>0.05</v>
      </c>
      <c r="D51" s="57">
        <f>I54</f>
        <v>2.4986094728099033</v>
      </c>
      <c r="F51" s="51">
        <v>0.02</v>
      </c>
      <c r="G51" s="55">
        <v>179.65170012484475</v>
      </c>
      <c r="H51" s="55">
        <v>188.28741129764217</v>
      </c>
      <c r="I51" s="145">
        <v>-8.6357111727974143</v>
      </c>
    </row>
    <row r="52" spans="3:9" x14ac:dyDescent="0.25">
      <c r="F52" s="51">
        <v>0.03</v>
      </c>
      <c r="G52" s="55">
        <v>127.95304255163728</v>
      </c>
      <c r="H52" s="55">
        <v>132.36368851571171</v>
      </c>
      <c r="I52" s="145">
        <v>-4.4106459640744333</v>
      </c>
    </row>
    <row r="53" spans="3:9" x14ac:dyDescent="0.25">
      <c r="D53" s="144"/>
      <c r="F53" s="50">
        <v>0.04</v>
      </c>
      <c r="G53" s="55">
        <v>81.108957793550076</v>
      </c>
      <c r="H53" s="55">
        <v>81.829549148434239</v>
      </c>
      <c r="I53" s="145">
        <v>-0.72059135488416359</v>
      </c>
    </row>
    <row r="54" spans="3:9" x14ac:dyDescent="0.25">
      <c r="F54" s="51">
        <v>0.05</v>
      </c>
      <c r="G54" s="55">
        <v>38.608674645923884</v>
      </c>
      <c r="H54" s="55">
        <v>36.110065173113981</v>
      </c>
      <c r="I54" s="145">
        <v>2.4986094728099033</v>
      </c>
    </row>
    <row r="55" spans="3:9" x14ac:dyDescent="0.25">
      <c r="F55" s="51">
        <v>0.06</v>
      </c>
      <c r="G55" s="55">
        <v>0</v>
      </c>
      <c r="H55" s="55">
        <v>-5.3031924578024245</v>
      </c>
      <c r="I55" s="145">
        <v>5.3031924578024245</v>
      </c>
    </row>
    <row r="56" spans="3:9" x14ac:dyDescent="0.25">
      <c r="F56" s="50">
        <v>7.0000000000000007E-2</v>
      </c>
      <c r="G56" s="55">
        <v>-35.117907704663253</v>
      </c>
      <c r="H56" s="55">
        <v>-42.860404927371803</v>
      </c>
      <c r="I56" s="145">
        <v>7.7424972227085505</v>
      </c>
    </row>
    <row r="57" spans="3:9" x14ac:dyDescent="0.25">
      <c r="F57" s="51">
        <v>0.08</v>
      </c>
      <c r="G57" s="55">
        <v>-67.100813989414689</v>
      </c>
      <c r="H57" s="55">
        <v>-76.960666266902308</v>
      </c>
      <c r="I57" s="145">
        <v>9.8598522774876187</v>
      </c>
    </row>
    <row r="58" spans="3:9" x14ac:dyDescent="0.25">
      <c r="F58" s="51">
        <v>0.09</v>
      </c>
      <c r="G58" s="55">
        <v>-96.264865517385317</v>
      </c>
      <c r="H58" s="55">
        <v>-107.95820630582324</v>
      </c>
      <c r="I58" s="145">
        <v>11.693340788437922</v>
      </c>
    </row>
    <row r="59" spans="3:9" x14ac:dyDescent="0.25">
      <c r="F59" s="50">
        <v>0.1</v>
      </c>
      <c r="G59" s="55">
        <v>-122.8913421140939</v>
      </c>
      <c r="H59" s="55">
        <v>-136.16780596253687</v>
      </c>
      <c r="I59" s="145">
        <v>13.276463848442972</v>
      </c>
    </row>
    <row r="60" spans="3:9" x14ac:dyDescent="0.25">
      <c r="F60" s="51">
        <v>0.11</v>
      </c>
      <c r="G60" s="55">
        <v>-147.23080027853035</v>
      </c>
      <c r="H60" s="55">
        <v>-161.86951594306151</v>
      </c>
      <c r="I60" s="145">
        <v>14.638715664531162</v>
      </c>
    </row>
    <row r="61" spans="3:9" x14ac:dyDescent="0.25">
      <c r="F61" s="51">
        <v>0.12</v>
      </c>
      <c r="G61" s="55">
        <v>-169.50669085232619</v>
      </c>
      <c r="H61" s="55">
        <v>-185.31277380392459</v>
      </c>
      <c r="I61" s="145">
        <v>15.806082951598398</v>
      </c>
    </row>
    <row r="62" spans="3:9" x14ac:dyDescent="0.25">
      <c r="F62" s="50">
        <v>0.13</v>
      </c>
      <c r="G62" s="55">
        <v>-189.91852165835064</v>
      </c>
      <c r="H62" s="55">
        <v>-206.72000068091</v>
      </c>
      <c r="I62" s="145">
        <v>16.801479022559363</v>
      </c>
    </row>
    <row r="63" spans="3:9" x14ac:dyDescent="0.25">
      <c r="F63" s="51">
        <v>0.14000000000000001</v>
      </c>
      <c r="G63" s="55">
        <v>-208.6446258517434</v>
      </c>
      <c r="H63" s="55">
        <v>-226.28974739393868</v>
      </c>
      <c r="I63" s="145">
        <v>17.645121542195284</v>
      </c>
    </row>
    <row r="64" spans="3:9" x14ac:dyDescent="0.25">
      <c r="F64" s="51">
        <v>0.15</v>
      </c>
      <c r="G64" s="56">
        <v>-225.84458816344016</v>
      </c>
      <c r="H64" s="56">
        <v>-244.19944978389552</v>
      </c>
      <c r="I64" s="145">
        <v>18.354861620455353</v>
      </c>
    </row>
  </sheetData>
  <mergeCells count="8">
    <mergeCell ref="F2:H2"/>
    <mergeCell ref="F34:H34"/>
    <mergeCell ref="C43:D43"/>
    <mergeCell ref="C45:D45"/>
    <mergeCell ref="C46:D46"/>
    <mergeCell ref="C11:D11"/>
    <mergeCell ref="C13:D13"/>
    <mergeCell ref="C14:D14"/>
  </mergeCells>
  <phoneticPr fontId="3" type="noConversion"/>
  <printOptions headings="1"/>
  <pageMargins left="0.74803149606299213" right="0.74803149606299213" top="0.98425196850393704" bottom="0.98425196850393704" header="0.51181102362204722" footer="0.51181102362204722"/>
  <pageSetup paperSize="9" orientation="portrait" blackAndWhite="1"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A7BF-1CF2-46DF-89CB-E49BA5FD327D}">
  <dimension ref="B2:L108"/>
  <sheetViews>
    <sheetView showGridLines="0" topLeftCell="A58" workbookViewId="0">
      <selection activeCell="X63" sqref="X63"/>
    </sheetView>
  </sheetViews>
  <sheetFormatPr defaultColWidth="9" defaultRowHeight="14.4" x14ac:dyDescent="0.25"/>
  <cols>
    <col min="1" max="1" width="1.19921875" style="13" customWidth="1"/>
    <col min="2" max="2" width="14.19921875" style="13" customWidth="1"/>
    <col min="3" max="3" width="9.5" style="13" bestFit="1" customWidth="1"/>
    <col min="4" max="4" width="1.09765625" style="13" customWidth="1"/>
    <col min="5" max="5" width="9.09765625" style="13" bestFit="1" customWidth="1"/>
    <col min="6" max="6" width="9.09765625" style="13" customWidth="1"/>
    <col min="7" max="7" width="5.19921875" style="13" bestFit="1" customWidth="1"/>
    <col min="8" max="8" width="5.69921875" style="13" customWidth="1"/>
    <col min="9" max="9" width="5.09765625" style="13" customWidth="1"/>
    <col min="10" max="10" width="1.19921875" style="13" customWidth="1"/>
    <col min="11" max="11" width="4.09765625" style="13" customWidth="1"/>
    <col min="12" max="12" width="10.5" style="13" bestFit="1" customWidth="1"/>
    <col min="13" max="13" width="1.19921875" style="13" customWidth="1"/>
    <col min="14" max="16384" width="9" style="13"/>
  </cols>
  <sheetData>
    <row r="2" spans="2:12" ht="27.15" customHeight="1" x14ac:dyDescent="0.25">
      <c r="B2" s="59" t="s">
        <v>66</v>
      </c>
      <c r="C2" s="73">
        <f ca="1">INDEX(F2:I2,MATCH(RAND(),F4:I4,1)+1)</f>
        <v>8</v>
      </c>
      <c r="E2" s="59" t="s">
        <v>72</v>
      </c>
      <c r="F2" s="77"/>
      <c r="G2" s="77">
        <v>7</v>
      </c>
      <c r="H2" s="77">
        <v>8</v>
      </c>
      <c r="I2" s="77">
        <v>9</v>
      </c>
      <c r="K2" s="167" t="s">
        <v>90</v>
      </c>
      <c r="L2" s="167"/>
    </row>
    <row r="3" spans="2:12" x14ac:dyDescent="0.25">
      <c r="B3" s="59" t="s">
        <v>69</v>
      </c>
      <c r="C3" s="74">
        <f ca="1">_xlfn.NORM.INV(RAND(),100,20)</f>
        <v>57.601800523722943</v>
      </c>
      <c r="E3" s="59" t="s">
        <v>73</v>
      </c>
      <c r="F3" s="77"/>
      <c r="G3" s="77">
        <v>0.3</v>
      </c>
      <c r="H3" s="77">
        <v>0.5</v>
      </c>
      <c r="I3" s="77">
        <v>0.2</v>
      </c>
      <c r="L3" s="76">
        <f ca="1">C6</f>
        <v>136.81440418978355</v>
      </c>
    </row>
    <row r="4" spans="2:12" x14ac:dyDescent="0.25">
      <c r="B4" s="59" t="s">
        <v>11</v>
      </c>
      <c r="C4" s="78">
        <v>300</v>
      </c>
      <c r="E4" s="59" t="s">
        <v>89</v>
      </c>
      <c r="F4" s="77">
        <v>0</v>
      </c>
      <c r="G4" s="77">
        <v>0.3</v>
      </c>
      <c r="H4" s="77">
        <v>0.8</v>
      </c>
      <c r="I4" s="77">
        <v>1</v>
      </c>
      <c r="K4" s="68">
        <v>1</v>
      </c>
      <c r="L4" s="66">
        <f t="dataTable" ref="L4:L53" dt2D="0" dtr="0" r1="T56" ca="1"/>
        <v>508.21461791911236</v>
      </c>
    </row>
    <row r="5" spans="2:12" x14ac:dyDescent="0.25">
      <c r="B5" s="59" t="s">
        <v>14</v>
      </c>
      <c r="C5" s="73">
        <f ca="1">RANDBETWEEN(2,4)</f>
        <v>3</v>
      </c>
      <c r="K5" s="69">
        <v>2</v>
      </c>
      <c r="L5" s="66">
        <v>658.81924913588364</v>
      </c>
    </row>
    <row r="6" spans="2:12" ht="28.8" x14ac:dyDescent="0.25">
      <c r="B6" s="59" t="s">
        <v>19</v>
      </c>
      <c r="C6" s="74">
        <f ca="1">C2*C3-C4-(C5*C2)</f>
        <v>136.81440418978355</v>
      </c>
      <c r="E6" s="60" t="s">
        <v>67</v>
      </c>
      <c r="F6" s="60" t="s">
        <v>68</v>
      </c>
      <c r="G6" s="75" t="s">
        <v>89</v>
      </c>
      <c r="H6" s="75"/>
      <c r="K6" s="69">
        <v>3</v>
      </c>
      <c r="L6" s="66">
        <v>668.12831610947671</v>
      </c>
    </row>
    <row r="7" spans="2:12" x14ac:dyDescent="0.25">
      <c r="C7" s="146"/>
      <c r="E7" s="61"/>
      <c r="F7" s="61"/>
      <c r="G7" s="62">
        <v>0</v>
      </c>
      <c r="H7" s="63"/>
      <c r="K7" s="69">
        <v>4</v>
      </c>
      <c r="L7" s="66">
        <v>507.60606110123808</v>
      </c>
    </row>
    <row r="8" spans="2:12" x14ac:dyDescent="0.25">
      <c r="B8" s="59" t="s">
        <v>70</v>
      </c>
      <c r="C8" s="71">
        <f>MAX(L4:L53)</f>
        <v>715.29067344740497</v>
      </c>
      <c r="E8" s="64">
        <v>7</v>
      </c>
      <c r="F8" s="64"/>
      <c r="G8" s="65">
        <v>0.3</v>
      </c>
      <c r="H8" s="63"/>
      <c r="K8" s="69">
        <v>5</v>
      </c>
      <c r="L8" s="66">
        <v>401.26764447863457</v>
      </c>
    </row>
    <row r="9" spans="2:12" x14ac:dyDescent="0.25">
      <c r="B9" s="59" t="s">
        <v>71</v>
      </c>
      <c r="C9" s="71">
        <f>MIN(L4:L53)</f>
        <v>18.713465946140161</v>
      </c>
      <c r="E9" s="64">
        <v>8</v>
      </c>
      <c r="F9" s="64"/>
      <c r="G9" s="65">
        <v>0.8</v>
      </c>
      <c r="H9" s="63"/>
      <c r="K9" s="69">
        <v>6</v>
      </c>
      <c r="L9" s="66">
        <v>660.67975369425665</v>
      </c>
    </row>
    <row r="10" spans="2:12" x14ac:dyDescent="0.25">
      <c r="C10" s="147"/>
      <c r="E10" s="64">
        <v>9</v>
      </c>
      <c r="F10" s="64"/>
      <c r="G10" s="65">
        <v>1</v>
      </c>
      <c r="H10" s="63"/>
      <c r="K10" s="69">
        <v>7</v>
      </c>
      <c r="L10" s="66">
        <v>687.23784462159472</v>
      </c>
    </row>
    <row r="11" spans="2:12" x14ac:dyDescent="0.25">
      <c r="B11" s="59" t="s">
        <v>74</v>
      </c>
      <c r="C11" s="71">
        <f>AVERAGE(L4:L53)</f>
        <v>457.89298038650747</v>
      </c>
      <c r="K11" s="69">
        <v>8</v>
      </c>
      <c r="L11" s="66">
        <v>519.88890850412918</v>
      </c>
    </row>
    <row r="12" spans="2:12" x14ac:dyDescent="0.25">
      <c r="C12" s="146"/>
      <c r="K12" s="69">
        <v>9</v>
      </c>
      <c r="L12" s="66">
        <v>375.9442871463516</v>
      </c>
    </row>
    <row r="13" spans="2:12" x14ac:dyDescent="0.25">
      <c r="B13" s="59" t="s">
        <v>75</v>
      </c>
      <c r="C13" s="72">
        <f>COUNTIF(L4:L53,"&lt;"&amp;0)/50*100%</f>
        <v>0</v>
      </c>
      <c r="K13" s="69">
        <v>10</v>
      </c>
      <c r="L13" s="66">
        <v>331.01715154430133</v>
      </c>
    </row>
    <row r="14" spans="2:12" hidden="1" x14ac:dyDescent="0.25">
      <c r="K14" s="69">
        <v>11</v>
      </c>
      <c r="L14" s="66">
        <v>446.29415773340622</v>
      </c>
    </row>
    <row r="15" spans="2:12" hidden="1" x14ac:dyDescent="0.25">
      <c r="K15" s="69">
        <v>12</v>
      </c>
      <c r="L15" s="66">
        <v>520.82626713137267</v>
      </c>
    </row>
    <row r="16" spans="2:12" hidden="1" x14ac:dyDescent="0.25">
      <c r="K16" s="69">
        <v>13</v>
      </c>
      <c r="L16" s="66">
        <v>590.85639562209872</v>
      </c>
    </row>
    <row r="17" spans="11:12" hidden="1" x14ac:dyDescent="0.25">
      <c r="K17" s="69">
        <v>14</v>
      </c>
      <c r="L17" s="66">
        <v>668.60470083664961</v>
      </c>
    </row>
    <row r="18" spans="11:12" hidden="1" x14ac:dyDescent="0.25">
      <c r="K18" s="69">
        <v>15</v>
      </c>
      <c r="L18" s="66">
        <v>530.77997392121745</v>
      </c>
    </row>
    <row r="19" spans="11:12" hidden="1" x14ac:dyDescent="0.25">
      <c r="K19" s="69">
        <v>16</v>
      </c>
      <c r="L19" s="66">
        <v>515.08441701849426</v>
      </c>
    </row>
    <row r="20" spans="11:12" hidden="1" x14ac:dyDescent="0.25">
      <c r="K20" s="69">
        <v>17</v>
      </c>
      <c r="L20" s="66">
        <v>425.82490937260729</v>
      </c>
    </row>
    <row r="21" spans="11:12" hidden="1" x14ac:dyDescent="0.25">
      <c r="K21" s="69">
        <v>18</v>
      </c>
      <c r="L21" s="66">
        <v>564.20289521174277</v>
      </c>
    </row>
    <row r="22" spans="11:12" hidden="1" x14ac:dyDescent="0.25">
      <c r="K22" s="69">
        <v>19</v>
      </c>
      <c r="L22" s="66">
        <v>310.63705120078453</v>
      </c>
    </row>
    <row r="23" spans="11:12" hidden="1" x14ac:dyDescent="0.25">
      <c r="K23" s="69">
        <v>20</v>
      </c>
      <c r="L23" s="66">
        <v>548.21934650813478</v>
      </c>
    </row>
    <row r="24" spans="11:12" hidden="1" x14ac:dyDescent="0.25">
      <c r="K24" s="69">
        <v>21</v>
      </c>
      <c r="L24" s="66">
        <v>650.67511090577011</v>
      </c>
    </row>
    <row r="25" spans="11:12" hidden="1" x14ac:dyDescent="0.25">
      <c r="K25" s="69">
        <v>22</v>
      </c>
      <c r="L25" s="66">
        <v>347.03556307201802</v>
      </c>
    </row>
    <row r="26" spans="11:12" hidden="1" x14ac:dyDescent="0.25">
      <c r="K26" s="69">
        <v>23</v>
      </c>
      <c r="L26" s="66">
        <v>529.56623529790829</v>
      </c>
    </row>
    <row r="27" spans="11:12" hidden="1" x14ac:dyDescent="0.25">
      <c r="K27" s="69">
        <v>24</v>
      </c>
      <c r="L27" s="66">
        <v>513.85925875055068</v>
      </c>
    </row>
    <row r="28" spans="11:12" hidden="1" x14ac:dyDescent="0.25">
      <c r="K28" s="69">
        <v>25</v>
      </c>
      <c r="L28" s="66">
        <v>310.47892218995401</v>
      </c>
    </row>
    <row r="29" spans="11:12" hidden="1" x14ac:dyDescent="0.25">
      <c r="K29" s="69">
        <v>26</v>
      </c>
      <c r="L29" s="66">
        <v>579.89766609917399</v>
      </c>
    </row>
    <row r="30" spans="11:12" hidden="1" x14ac:dyDescent="0.25">
      <c r="K30" s="69">
        <v>27</v>
      </c>
      <c r="L30" s="66">
        <v>393.63449918232664</v>
      </c>
    </row>
    <row r="31" spans="11:12" hidden="1" x14ac:dyDescent="0.25">
      <c r="K31" s="69">
        <v>28</v>
      </c>
      <c r="L31" s="66">
        <v>677.82200329556963</v>
      </c>
    </row>
    <row r="32" spans="11:12" hidden="1" x14ac:dyDescent="0.25">
      <c r="K32" s="69">
        <v>29</v>
      </c>
      <c r="L32" s="66">
        <v>18.713465946140161</v>
      </c>
    </row>
    <row r="33" spans="11:12" hidden="1" x14ac:dyDescent="0.25">
      <c r="K33" s="69">
        <v>30</v>
      </c>
      <c r="L33" s="66">
        <v>134.66468968899039</v>
      </c>
    </row>
    <row r="34" spans="11:12" hidden="1" x14ac:dyDescent="0.25">
      <c r="K34" s="69">
        <v>31</v>
      </c>
      <c r="L34" s="66">
        <v>462.18226664266274</v>
      </c>
    </row>
    <row r="35" spans="11:12" hidden="1" x14ac:dyDescent="0.25">
      <c r="K35" s="69">
        <v>32</v>
      </c>
      <c r="L35" s="66">
        <v>275.13540717725277</v>
      </c>
    </row>
    <row r="36" spans="11:12" hidden="1" x14ac:dyDescent="0.25">
      <c r="K36" s="69">
        <v>33</v>
      </c>
      <c r="L36" s="66">
        <v>352.87289488683973</v>
      </c>
    </row>
    <row r="37" spans="11:12" hidden="1" x14ac:dyDescent="0.25">
      <c r="K37" s="69">
        <v>34</v>
      </c>
      <c r="L37" s="66">
        <v>353.36941055849866</v>
      </c>
    </row>
    <row r="38" spans="11:12" hidden="1" x14ac:dyDescent="0.25">
      <c r="K38" s="69">
        <v>35</v>
      </c>
      <c r="L38" s="66">
        <v>364.78628217272978</v>
      </c>
    </row>
    <row r="39" spans="11:12" hidden="1" x14ac:dyDescent="0.25">
      <c r="K39" s="69">
        <v>36</v>
      </c>
      <c r="L39" s="66">
        <v>494.04647752280846</v>
      </c>
    </row>
    <row r="40" spans="11:12" hidden="1" x14ac:dyDescent="0.25">
      <c r="K40" s="69">
        <v>37</v>
      </c>
      <c r="L40" s="66">
        <v>372.92012092590085</v>
      </c>
    </row>
    <row r="41" spans="11:12" hidden="1" x14ac:dyDescent="0.25">
      <c r="K41" s="69">
        <v>38</v>
      </c>
      <c r="L41" s="66">
        <v>258.87944280672809</v>
      </c>
    </row>
    <row r="42" spans="11:12" hidden="1" x14ac:dyDescent="0.25">
      <c r="K42" s="69">
        <v>39</v>
      </c>
      <c r="L42" s="66">
        <v>713.99089422295629</v>
      </c>
    </row>
    <row r="43" spans="11:12" hidden="1" x14ac:dyDescent="0.25">
      <c r="K43" s="69">
        <v>40</v>
      </c>
      <c r="L43" s="66">
        <v>715.29067344740497</v>
      </c>
    </row>
    <row r="44" spans="11:12" hidden="1" x14ac:dyDescent="0.25">
      <c r="K44" s="69">
        <v>41</v>
      </c>
      <c r="L44" s="66">
        <v>460.01820668815662</v>
      </c>
    </row>
    <row r="45" spans="11:12" hidden="1" x14ac:dyDescent="0.25">
      <c r="K45" s="69">
        <v>42</v>
      </c>
      <c r="L45" s="66">
        <v>427.2706784249749</v>
      </c>
    </row>
    <row r="46" spans="11:12" hidden="1" x14ac:dyDescent="0.25">
      <c r="K46" s="69">
        <v>43</v>
      </c>
      <c r="L46" s="66">
        <v>372.63226231906742</v>
      </c>
    </row>
    <row r="47" spans="11:12" hidden="1" x14ac:dyDescent="0.25">
      <c r="K47" s="69">
        <v>44</v>
      </c>
      <c r="L47" s="66">
        <v>238.92292919804402</v>
      </c>
    </row>
    <row r="48" spans="11:12" hidden="1" x14ac:dyDescent="0.25">
      <c r="K48" s="69">
        <v>45</v>
      </c>
      <c r="L48" s="66">
        <v>449.59665083418906</v>
      </c>
    </row>
    <row r="49" spans="2:12" hidden="1" x14ac:dyDescent="0.25">
      <c r="K49" s="69">
        <v>46</v>
      </c>
      <c r="L49" s="66">
        <v>458.51458336264932</v>
      </c>
    </row>
    <row r="50" spans="2:12" hidden="1" x14ac:dyDescent="0.25">
      <c r="K50" s="69">
        <v>47</v>
      </c>
      <c r="L50" s="66">
        <v>521.00913659857133</v>
      </c>
    </row>
    <row r="51" spans="2:12" hidden="1" x14ac:dyDescent="0.25">
      <c r="K51" s="69">
        <v>48</v>
      </c>
      <c r="L51" s="66">
        <v>291.80098796777634</v>
      </c>
    </row>
    <row r="52" spans="2:12" x14ac:dyDescent="0.25">
      <c r="K52" s="69">
        <v>49</v>
      </c>
      <c r="L52" s="66">
        <v>400.81059083892922</v>
      </c>
    </row>
    <row r="53" spans="2:12" x14ac:dyDescent="0.25">
      <c r="K53" s="70">
        <v>50</v>
      </c>
      <c r="L53" s="67">
        <v>314.11775948934201</v>
      </c>
    </row>
    <row r="57" spans="2:12" ht="27.75" customHeight="1" x14ac:dyDescent="0.25">
      <c r="B57" s="59" t="s">
        <v>66</v>
      </c>
      <c r="C57" s="73">
        <f ca="1">INDEX(F57:I57,MATCH(RAND(),F59:I59,1)+1)</f>
        <v>8</v>
      </c>
      <c r="E57" s="59" t="s">
        <v>72</v>
      </c>
      <c r="F57" s="77"/>
      <c r="G57" s="77">
        <v>7</v>
      </c>
      <c r="H57" s="77">
        <v>8</v>
      </c>
      <c r="I57" s="77">
        <v>9</v>
      </c>
      <c r="K57" s="167" t="s">
        <v>90</v>
      </c>
      <c r="L57" s="167"/>
    </row>
    <row r="58" spans="2:12" x14ac:dyDescent="0.25">
      <c r="B58" s="59" t="s">
        <v>69</v>
      </c>
      <c r="C58" s="74">
        <f ca="1">INT(NORMINV(RAND(),100,20))</f>
        <v>98</v>
      </c>
      <c r="E58" s="59" t="s">
        <v>73</v>
      </c>
      <c r="F58" s="77">
        <v>0</v>
      </c>
      <c r="G58" s="77">
        <v>0.3</v>
      </c>
      <c r="H58" s="77">
        <v>0.5</v>
      </c>
      <c r="I58" s="77">
        <v>0.2</v>
      </c>
      <c r="L58" s="76">
        <f ca="1">C61</f>
        <v>288</v>
      </c>
    </row>
    <row r="59" spans="2:12" x14ac:dyDescent="0.25">
      <c r="B59" s="59" t="s">
        <v>11</v>
      </c>
      <c r="C59" s="78">
        <v>300</v>
      </c>
      <c r="E59" s="59" t="s">
        <v>89</v>
      </c>
      <c r="F59" s="77">
        <v>0</v>
      </c>
      <c r="G59" s="77">
        <f>G58+F59</f>
        <v>0.3</v>
      </c>
      <c r="H59" s="77">
        <f t="shared" ref="H59:I59" si="0">H58+G59</f>
        <v>0.8</v>
      </c>
      <c r="I59" s="77">
        <f t="shared" si="0"/>
        <v>1</v>
      </c>
      <c r="K59" s="68">
        <v>1</v>
      </c>
      <c r="L59" s="66">
        <f t="dataTable" ref="L59:L108" dt2D="0" dtr="0" r1="O12" ca="1"/>
        <v>72</v>
      </c>
    </row>
    <row r="60" spans="2:12" x14ac:dyDescent="0.25">
      <c r="B60" s="59" t="s">
        <v>14</v>
      </c>
      <c r="C60" s="73">
        <f ca="1">INT(RANDBETWEEN(2,4))</f>
        <v>2</v>
      </c>
      <c r="K60" s="69">
        <v>2</v>
      </c>
      <c r="L60" s="66">
        <v>288</v>
      </c>
    </row>
    <row r="61" spans="2:12" ht="28.8" x14ac:dyDescent="0.25">
      <c r="B61" s="59" t="s">
        <v>19</v>
      </c>
      <c r="C61" s="74">
        <f ca="1">C58*C57-C59-C58*C60</f>
        <v>288</v>
      </c>
      <c r="E61" s="60" t="s">
        <v>67</v>
      </c>
      <c r="F61" s="60" t="s">
        <v>68</v>
      </c>
      <c r="G61" s="75" t="s">
        <v>89</v>
      </c>
      <c r="H61" s="75"/>
      <c r="K61" s="69">
        <v>3</v>
      </c>
      <c r="L61" s="66">
        <v>305</v>
      </c>
    </row>
    <row r="62" spans="2:12" x14ac:dyDescent="0.25">
      <c r="C62" s="146"/>
      <c r="E62" s="61"/>
      <c r="F62" s="61"/>
      <c r="G62" s="62">
        <v>0</v>
      </c>
      <c r="H62" s="63"/>
      <c r="K62" s="69">
        <v>4</v>
      </c>
      <c r="L62" s="66">
        <v>512</v>
      </c>
    </row>
    <row r="63" spans="2:12" x14ac:dyDescent="0.25">
      <c r="B63" s="59" t="s">
        <v>70</v>
      </c>
      <c r="C63" s="71">
        <f>MAX(L59:L108)</f>
        <v>540</v>
      </c>
      <c r="E63" s="64">
        <v>7</v>
      </c>
      <c r="F63" s="64">
        <v>0.3</v>
      </c>
      <c r="G63" s="65">
        <v>0.3</v>
      </c>
      <c r="H63" s="63"/>
      <c r="K63" s="69">
        <v>5</v>
      </c>
      <c r="L63" s="66">
        <v>300</v>
      </c>
    </row>
    <row r="64" spans="2:12" x14ac:dyDescent="0.25">
      <c r="B64" s="59" t="s">
        <v>71</v>
      </c>
      <c r="C64" s="71">
        <f>MIN(L59:L108)</f>
        <v>-36</v>
      </c>
      <c r="E64" s="64">
        <v>8</v>
      </c>
      <c r="F64" s="64">
        <v>0.5</v>
      </c>
      <c r="G64" s="65">
        <v>0.8</v>
      </c>
      <c r="H64" s="63"/>
      <c r="K64" s="69">
        <v>6</v>
      </c>
      <c r="L64" s="66">
        <v>414</v>
      </c>
    </row>
    <row r="65" spans="2:12" x14ac:dyDescent="0.25">
      <c r="C65" s="147"/>
      <c r="E65" s="64">
        <v>9</v>
      </c>
      <c r="F65" s="64">
        <v>0.2</v>
      </c>
      <c r="G65" s="65">
        <v>1</v>
      </c>
      <c r="H65" s="63"/>
      <c r="K65" s="69">
        <v>7</v>
      </c>
      <c r="L65" s="66">
        <v>60</v>
      </c>
    </row>
    <row r="66" spans="2:12" x14ac:dyDescent="0.25">
      <c r="B66" s="59" t="s">
        <v>74</v>
      </c>
      <c r="C66" s="71">
        <f>AVERAGE(L59:L108)</f>
        <v>211.42</v>
      </c>
      <c r="K66" s="69">
        <v>8</v>
      </c>
      <c r="L66" s="66">
        <v>288</v>
      </c>
    </row>
    <row r="67" spans="2:12" x14ac:dyDescent="0.25">
      <c r="C67" s="146"/>
      <c r="K67" s="69">
        <v>9</v>
      </c>
      <c r="L67" s="66">
        <v>3</v>
      </c>
    </row>
    <row r="68" spans="2:12" x14ac:dyDescent="0.25">
      <c r="B68" s="59" t="s">
        <v>75</v>
      </c>
      <c r="C68" s="72">
        <f>COUNTIF(L59:L108,"&lt;"&amp;0)/50*100%</f>
        <v>0.02</v>
      </c>
      <c r="K68" s="69">
        <v>10</v>
      </c>
      <c r="L68" s="66">
        <v>70</v>
      </c>
    </row>
    <row r="69" spans="2:12" x14ac:dyDescent="0.25">
      <c r="K69" s="69">
        <v>11</v>
      </c>
      <c r="L69" s="66">
        <v>270</v>
      </c>
    </row>
    <row r="70" spans="2:12" x14ac:dyDescent="0.25">
      <c r="K70" s="69">
        <v>12</v>
      </c>
      <c r="L70" s="66">
        <v>76</v>
      </c>
    </row>
    <row r="71" spans="2:12" x14ac:dyDescent="0.25">
      <c r="K71" s="69">
        <v>13</v>
      </c>
      <c r="L71" s="66">
        <v>300</v>
      </c>
    </row>
    <row r="72" spans="2:12" x14ac:dyDescent="0.25">
      <c r="K72" s="69">
        <v>14</v>
      </c>
      <c r="L72" s="66">
        <v>125</v>
      </c>
    </row>
    <row r="73" spans="2:12" x14ac:dyDescent="0.25">
      <c r="K73" s="69">
        <v>15</v>
      </c>
      <c r="L73" s="66">
        <v>105</v>
      </c>
    </row>
    <row r="74" spans="2:12" x14ac:dyDescent="0.25">
      <c r="K74" s="69">
        <v>16</v>
      </c>
      <c r="L74" s="66">
        <v>200</v>
      </c>
    </row>
    <row r="75" spans="2:12" x14ac:dyDescent="0.25">
      <c r="K75" s="69">
        <v>17</v>
      </c>
      <c r="L75" s="66">
        <v>116</v>
      </c>
    </row>
    <row r="76" spans="2:12" x14ac:dyDescent="0.25">
      <c r="K76" s="69">
        <v>18</v>
      </c>
      <c r="L76" s="66">
        <v>456</v>
      </c>
    </row>
    <row r="77" spans="2:12" x14ac:dyDescent="0.25">
      <c r="K77" s="69">
        <v>19</v>
      </c>
      <c r="L77" s="66">
        <v>390</v>
      </c>
    </row>
    <row r="78" spans="2:12" x14ac:dyDescent="0.25">
      <c r="K78" s="69">
        <v>20</v>
      </c>
      <c r="L78" s="66">
        <v>-36</v>
      </c>
    </row>
    <row r="79" spans="2:12" x14ac:dyDescent="0.25">
      <c r="K79" s="69">
        <v>21</v>
      </c>
      <c r="L79" s="66">
        <v>132</v>
      </c>
    </row>
    <row r="80" spans="2:12" x14ac:dyDescent="0.25">
      <c r="K80" s="69">
        <v>22</v>
      </c>
      <c r="L80" s="66">
        <v>164</v>
      </c>
    </row>
    <row r="81" spans="11:12" x14ac:dyDescent="0.25">
      <c r="K81" s="69">
        <v>23</v>
      </c>
      <c r="L81" s="66">
        <v>90</v>
      </c>
    </row>
    <row r="82" spans="11:12" x14ac:dyDescent="0.25">
      <c r="K82" s="69">
        <v>24</v>
      </c>
      <c r="L82" s="66">
        <v>180</v>
      </c>
    </row>
    <row r="83" spans="11:12" x14ac:dyDescent="0.25">
      <c r="K83" s="69">
        <v>25</v>
      </c>
      <c r="L83" s="66">
        <v>252</v>
      </c>
    </row>
    <row r="84" spans="11:12" x14ac:dyDescent="0.25">
      <c r="K84" s="69">
        <v>26</v>
      </c>
      <c r="L84" s="66">
        <v>114</v>
      </c>
    </row>
    <row r="85" spans="11:12" x14ac:dyDescent="0.25">
      <c r="K85" s="69">
        <v>27</v>
      </c>
      <c r="L85" s="66">
        <v>408</v>
      </c>
    </row>
    <row r="86" spans="11:12" x14ac:dyDescent="0.25">
      <c r="K86" s="69">
        <v>28</v>
      </c>
      <c r="L86" s="66">
        <v>204</v>
      </c>
    </row>
    <row r="87" spans="11:12" x14ac:dyDescent="0.25">
      <c r="K87" s="69">
        <v>29</v>
      </c>
      <c r="L87" s="66">
        <v>136</v>
      </c>
    </row>
    <row r="88" spans="11:12" x14ac:dyDescent="0.25">
      <c r="K88" s="69">
        <v>30</v>
      </c>
      <c r="L88" s="66">
        <v>104</v>
      </c>
    </row>
    <row r="89" spans="11:12" x14ac:dyDescent="0.25">
      <c r="K89" s="69">
        <v>31</v>
      </c>
      <c r="L89" s="66">
        <v>205</v>
      </c>
    </row>
    <row r="90" spans="11:12" x14ac:dyDescent="0.25">
      <c r="K90" s="69">
        <v>32</v>
      </c>
      <c r="L90" s="66">
        <v>76</v>
      </c>
    </row>
    <row r="91" spans="11:12" x14ac:dyDescent="0.25">
      <c r="K91" s="69">
        <v>33</v>
      </c>
      <c r="L91" s="66">
        <v>282</v>
      </c>
    </row>
    <row r="92" spans="11:12" x14ac:dyDescent="0.25">
      <c r="K92" s="69">
        <v>34</v>
      </c>
      <c r="L92" s="66">
        <v>300</v>
      </c>
    </row>
    <row r="93" spans="11:12" x14ac:dyDescent="0.25">
      <c r="K93" s="69">
        <v>35</v>
      </c>
      <c r="L93" s="66">
        <v>36</v>
      </c>
    </row>
    <row r="94" spans="11:12" x14ac:dyDescent="0.25">
      <c r="K94" s="69">
        <v>36</v>
      </c>
      <c r="L94" s="66">
        <v>282</v>
      </c>
    </row>
    <row r="95" spans="11:12" x14ac:dyDescent="0.25">
      <c r="K95" s="69">
        <v>37</v>
      </c>
      <c r="L95" s="66">
        <v>136</v>
      </c>
    </row>
    <row r="96" spans="11:12" x14ac:dyDescent="0.25">
      <c r="K96" s="69">
        <v>38</v>
      </c>
      <c r="L96" s="66">
        <v>175</v>
      </c>
    </row>
    <row r="97" spans="11:12" x14ac:dyDescent="0.25">
      <c r="K97" s="69">
        <v>39</v>
      </c>
      <c r="L97" s="66">
        <v>36</v>
      </c>
    </row>
    <row r="98" spans="11:12" x14ac:dyDescent="0.25">
      <c r="K98" s="69">
        <v>40</v>
      </c>
      <c r="L98" s="66">
        <v>288</v>
      </c>
    </row>
    <row r="99" spans="11:12" x14ac:dyDescent="0.25">
      <c r="K99" s="69">
        <v>41</v>
      </c>
      <c r="L99" s="66">
        <v>354</v>
      </c>
    </row>
    <row r="100" spans="11:12" x14ac:dyDescent="0.25">
      <c r="K100" s="69">
        <v>42</v>
      </c>
      <c r="L100" s="66">
        <v>165</v>
      </c>
    </row>
    <row r="101" spans="11:12" x14ac:dyDescent="0.25">
      <c r="K101" s="69">
        <v>43</v>
      </c>
      <c r="L101" s="66">
        <v>246</v>
      </c>
    </row>
    <row r="102" spans="11:12" x14ac:dyDescent="0.25">
      <c r="K102" s="69">
        <v>44</v>
      </c>
      <c r="L102" s="66">
        <v>270</v>
      </c>
    </row>
    <row r="103" spans="11:12" x14ac:dyDescent="0.25">
      <c r="K103" s="69">
        <v>45</v>
      </c>
      <c r="L103" s="66">
        <v>540</v>
      </c>
    </row>
    <row r="104" spans="11:12" x14ac:dyDescent="0.25">
      <c r="K104" s="69">
        <v>46</v>
      </c>
      <c r="L104" s="66">
        <v>42</v>
      </c>
    </row>
    <row r="105" spans="11:12" x14ac:dyDescent="0.25">
      <c r="K105" s="69">
        <v>47</v>
      </c>
      <c r="L105" s="66">
        <v>468</v>
      </c>
    </row>
    <row r="106" spans="11:12" x14ac:dyDescent="0.25">
      <c r="K106" s="69">
        <v>48</v>
      </c>
      <c r="L106" s="66">
        <v>336</v>
      </c>
    </row>
    <row r="107" spans="11:12" x14ac:dyDescent="0.25">
      <c r="K107" s="69">
        <v>49</v>
      </c>
      <c r="L107" s="66">
        <v>108</v>
      </c>
    </row>
    <row r="108" spans="11:12" x14ac:dyDescent="0.25">
      <c r="K108" s="70">
        <v>50</v>
      </c>
      <c r="L108" s="67">
        <v>128</v>
      </c>
    </row>
  </sheetData>
  <mergeCells count="2">
    <mergeCell ref="K2:L2"/>
    <mergeCell ref="K57:L57"/>
  </mergeCells>
  <phoneticPr fontId="3" type="noConversion"/>
  <printOptions headings="1"/>
  <pageMargins left="0.74803149606299213" right="0.74803149606299213" top="0.98425196850393704" bottom="0.98425196850393704" header="0.51181102362204722" footer="0.51181102362204722"/>
  <pageSetup paperSize="9" orientation="portrait" blackAndWhite="1"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第1题</vt:lpstr>
      <vt:lpstr>第2题</vt:lpstr>
      <vt:lpstr>第3题</vt:lpstr>
      <vt:lpstr>第4题 </vt:lpstr>
      <vt:lpstr>第5题 </vt:lpstr>
      <vt:lpstr>第6题</vt:lpstr>
      <vt:lpstr>第7题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C02</dc:creator>
  <cp:lastModifiedBy>86130</cp:lastModifiedBy>
  <dcterms:created xsi:type="dcterms:W3CDTF">2015-11-02T13:49:02Z</dcterms:created>
  <dcterms:modified xsi:type="dcterms:W3CDTF">2022-05-18T11:48:04Z</dcterms:modified>
</cp:coreProperties>
</file>