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ike Huang\Documents\ChatGPT\New project\outputs\framing_01a093aa\desktop\FramingStudio_E2.75_Windows\Excel\"/>
    </mc:Choice>
  </mc:AlternateContent>
  <xr:revisionPtr revIDLastSave="0" documentId="13_ncr:1_{65E2920C-9D11-447B-BD35-E21C72D517B1}" xr6:coauthVersionLast="47" xr6:coauthVersionMax="47" xr10:uidLastSave="{00000000-0000-0000-0000-000000000000}"/>
  <bookViews>
    <workbookView xWindow="-108" yWindow="-108" windowWidth="30936" windowHeight="16776" activeTab="3" xr2:uid="{00000000-000D-0000-FFFF-FFFF00000000}"/>
  </bookViews>
  <sheets>
    <sheet name="Project Floors" sheetId="28" r:id="rId1"/>
    <sheet name="RC Load Results" sheetId="27" r:id="rId2"/>
    <sheet name="RC Loads" sheetId="26" r:id="rId3"/>
    <sheet name="RC Column Inputs" sheetId="29" r:id="rId4"/>
    <sheet name="Input" sheetId="20" r:id="rId5"/>
    <sheet name="_Input Engine" sheetId="19" state="veryHidden" r:id="rId6"/>
    <sheet name="Section A Beam Slab" sheetId="3" r:id="rId7"/>
    <sheet name="Section A Column Loading" sheetId="2" r:id="rId8"/>
    <sheet name="Section A Transfer Column" sheetId="7" r:id="rId9"/>
    <sheet name="Section A Transfer Beam" sheetId="5" r:id="rId10"/>
    <sheet name="Section A 抄" sheetId="4" r:id="rId11"/>
    <sheet name="Section B Slab Check" sheetId="12" r:id="rId12"/>
    <sheet name="Section B Cantilever Slab Check" sheetId="24" r:id="rId13"/>
    <sheet name="Section B Secondary Beam Design" sheetId="16" r:id="rId14"/>
    <sheet name="Section B Main Beam Design" sheetId="14" r:id="rId15"/>
    <sheet name="Section B Cantilever Beam Check" sheetId="21" r:id="rId16"/>
    <sheet name="Section B Transfer Beam Check" sheetId="11" r:id="rId17"/>
    <sheet name="Section B Column Check" sheetId="10" r:id="rId18"/>
    <sheet name="Section B 抄" sheetId="9" r:id="rId19"/>
    <sheet name="Section B Concrete Cover" sheetId="13" r:id="rId20"/>
    <sheet name="_TB Analysis" sheetId="8" state="veryHidden" r:id="rId21"/>
    <sheet name="_MB Analysis" sheetId="15" state="veryHidden" r:id="rId22"/>
    <sheet name="_SB Analysis" sheetId="17" state="veryHidden" r:id="rId23"/>
    <sheet name="_SB Helpers" sheetId="18" state="veryHidden" r:id="rId24"/>
    <sheet name="Imposed Load" sheetId="1" r:id="rId25"/>
    <sheet name="_CB Helpers" sheetId="23" state="veryHidden" r:id="rId26"/>
    <sheet name="_CB Analysis" sheetId="22" state="veryHidden" r:id="rId27"/>
    <sheet name="_CS Analysis" sheetId="25" state="veryHidden" r:id="rId28"/>
  </sheets>
  <functionGroups builtInGroupCount="19"/>
  <definedNames>
    <definedName name="FireHours71">'Section B Concrete Cover'!$B$6:$D$6</definedName>
    <definedName name="MBIDs66">'_Input Engine'!$A$61:$A$80</definedName>
    <definedName name="MemberIDs94">'Section A Beam Slab'!$V$6:$V$105</definedName>
    <definedName name="_xlnm.Print_Area" localSheetId="26">'_CB Analysis'!$A$1:$E$83</definedName>
    <definedName name="_xlnm.Print_Area" localSheetId="5">'_Input Engine'!$A$1:$V$50,'_Input Engine'!$A$56:$S$85,'_Input Engine'!$A$178:$P$200</definedName>
    <definedName name="_xlnm.Print_Area" localSheetId="21">'_MB Analysis'!$A$1:$E$83</definedName>
    <definedName name="_xlnm.Print_Area" localSheetId="22">'_SB Analysis'!$A$1:$E$83</definedName>
    <definedName name="_xlnm.Print_Area" localSheetId="20">'_TB Analysis'!$A$1:$E$83</definedName>
    <definedName name="_xlnm.Print_Area" localSheetId="4">Input!$A$1:$P$43,Input!$A$46:$P$93,Input!$A$96:$P$143</definedName>
    <definedName name="_xlnm.Print_Area" localSheetId="10">'Section A 抄'!$A$1:$H$40</definedName>
    <definedName name="_xlnm.Print_Area" localSheetId="15">'Section B Cantilever Beam Check'!$A$2:$O$117,'Section B Cantilever Beam Check'!$BR$9:$CG$51</definedName>
    <definedName name="_xlnm.Print_Area" localSheetId="12">'Section B Cantilever Slab Check'!$A$1:$I$79</definedName>
    <definedName name="_xlnm.Print_Area" localSheetId="17">'Section B Column Check'!$A$1:$E$49</definedName>
    <definedName name="_xlnm.Print_Area" localSheetId="19">'Section B Concrete Cover'!$A$1:$E$25</definedName>
    <definedName name="_xlnm.Print_Area" localSheetId="14">'Section B Main Beam Design'!$A$2:$O$117,'Section B Main Beam Design'!$BR$9:$CG$51</definedName>
    <definedName name="_xlnm.Print_Area" localSheetId="13">'Section B Secondary Beam Design'!$A$2:$O$117,'Section B Secondary Beam Design'!$BR$9:$CG$51</definedName>
    <definedName name="_xlnm.Print_Area" localSheetId="11">'Section B Slab Check'!$A$1:$I$79</definedName>
    <definedName name="_xlnm.Print_Area" localSheetId="16">'Section B Transfer Beam Check'!$A$2:$O$117,'Section B Transfer Beam Check'!$BR$9:$CG$51</definedName>
    <definedName name="_xlnm.Print_Area" localSheetId="18">'Section B 抄'!$A$1:$H$51</definedName>
    <definedName name="_xlnm.Print_Titles" localSheetId="15">'Section B Cantilever Beam Check'!$2:$6</definedName>
    <definedName name="_xlnm.Print_Titles" localSheetId="14">'Section B Main Beam Design'!$2:$6</definedName>
    <definedName name="_xlnm.Print_Titles" localSheetId="13">'Section B Secondary Beam Design'!$2:$6</definedName>
    <definedName name="_xlnm.Print_Titles" localSheetId="16">'Section B Transfer Beam Check'!$2:$6</definedName>
    <definedName name="SBIDs66">'_Input Engine'!$A$31:$A$50</definedName>
    <definedName name="SectionAFeasibility98">'Section A 抄'!$A$39</definedName>
    <definedName name="SlabDesignIDs76">'_Input Engine'!$A$11:$A$20</definedName>
    <definedName name="SlabIDs66">'_Input Engine'!$A$11:$A$21</definedName>
    <definedName name="TCIDs">'Section A Transfer Column'!$O$5:$O$104</definedName>
    <definedName name="UsageOptions">'Imposed Load'!$A$16:$A$68</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6" i="5" l="1"/>
  <c r="AF46" i="5"/>
  <c r="AG45" i="5"/>
  <c r="AF45" i="5"/>
  <c r="AG44" i="5"/>
  <c r="AF44" i="5"/>
  <c r="AG43" i="5"/>
  <c r="AF43" i="5"/>
  <c r="AG42" i="5"/>
  <c r="AF42" i="5"/>
  <c r="AG41" i="5"/>
  <c r="AF41" i="5"/>
  <c r="AG40" i="5"/>
  <c r="AF40" i="5"/>
  <c r="AG39" i="5"/>
  <c r="AF39" i="5"/>
  <c r="AG38" i="5"/>
  <c r="AF38" i="5"/>
  <c r="AG37" i="5"/>
  <c r="AF37" i="5"/>
  <c r="AG36" i="5"/>
  <c r="AF36" i="5"/>
  <c r="AG35" i="5"/>
  <c r="AF35" i="5"/>
  <c r="AG34" i="5"/>
  <c r="AF34" i="5"/>
  <c r="AG33" i="5"/>
  <c r="AF33" i="5"/>
  <c r="AG32" i="5"/>
  <c r="AF32" i="5"/>
  <c r="AG31" i="5"/>
  <c r="AF31" i="5"/>
  <c r="AG30" i="5"/>
  <c r="AF30" i="5"/>
  <c r="AG29" i="5"/>
  <c r="AF29" i="5"/>
  <c r="AG28" i="5"/>
  <c r="AF28" i="5"/>
  <c r="AG27" i="5"/>
  <c r="AF27" i="5"/>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O200" i="19"/>
  <c r="O28" i="20" s="1"/>
  <c r="O199" i="19"/>
  <c r="O198" i="19"/>
  <c r="O26" i="20" s="1"/>
  <c r="O197" i="19"/>
  <c r="O25" i="20" s="1"/>
  <c r="O196" i="19"/>
  <c r="O24" i="20" s="1"/>
  <c r="O195" i="19"/>
  <c r="O23" i="20" s="1"/>
  <c r="O194" i="19"/>
  <c r="O22" i="20" s="1"/>
  <c r="O193" i="19"/>
  <c r="O21" i="20" s="1"/>
  <c r="O192" i="19"/>
  <c r="O20" i="20" s="1"/>
  <c r="O191" i="19"/>
  <c r="O19" i="20" s="1"/>
  <c r="O190" i="19"/>
  <c r="O18" i="20" s="1"/>
  <c r="O189" i="19"/>
  <c r="O17" i="20" s="1"/>
  <c r="O188" i="19"/>
  <c r="O16" i="20" s="1"/>
  <c r="O187" i="19"/>
  <c r="O15" i="20" s="1"/>
  <c r="O186" i="19"/>
  <c r="O14" i="20" s="1"/>
  <c r="O185" i="19"/>
  <c r="O13" i="20" s="1"/>
  <c r="O184" i="19"/>
  <c r="O183" i="19"/>
  <c r="O11" i="20" s="1"/>
  <c r="O182" i="19"/>
  <c r="O10" i="20" s="1"/>
  <c r="O181" i="19"/>
  <c r="O9" i="20" s="1"/>
  <c r="C66" i="1"/>
  <c r="C61" i="1"/>
  <c r="C55" i="1"/>
  <c r="C54" i="1"/>
  <c r="C53" i="1"/>
  <c r="C52" i="1"/>
  <c r="C51" i="1"/>
  <c r="C50" i="1"/>
  <c r="C49" i="1"/>
  <c r="C48" i="1"/>
  <c r="C45" i="1"/>
  <c r="C43" i="1"/>
  <c r="C42" i="1"/>
  <c r="C41" i="1"/>
  <c r="C39" i="1"/>
  <c r="C36" i="1"/>
  <c r="C34" i="1"/>
  <c r="C31" i="1"/>
  <c r="C29" i="1"/>
  <c r="C28" i="1"/>
  <c r="C26" i="1"/>
  <c r="C25" i="1"/>
  <c r="C24" i="1"/>
  <c r="C22" i="1"/>
  <c r="C20" i="1"/>
  <c r="C19" i="1"/>
  <c r="C18" i="1"/>
  <c r="C17" i="1"/>
  <c r="C16" i="1"/>
  <c r="P143" i="20"/>
  <c r="O143" i="20"/>
  <c r="N143" i="20"/>
  <c r="P142" i="20"/>
  <c r="O142" i="20"/>
  <c r="N142" i="20"/>
  <c r="P141" i="20"/>
  <c r="O141" i="20"/>
  <c r="N141" i="20"/>
  <c r="P140" i="20"/>
  <c r="O140" i="20"/>
  <c r="N140" i="20"/>
  <c r="P139" i="20"/>
  <c r="O139" i="20"/>
  <c r="N139" i="20"/>
  <c r="P138" i="20"/>
  <c r="O138" i="20"/>
  <c r="N138" i="20"/>
  <c r="P137" i="20"/>
  <c r="O137" i="20"/>
  <c r="N137" i="20"/>
  <c r="P136" i="20"/>
  <c r="O136" i="20"/>
  <c r="N136" i="20"/>
  <c r="P135" i="20"/>
  <c r="O135" i="20"/>
  <c r="N135" i="20"/>
  <c r="P134" i="20"/>
  <c r="O134" i="20"/>
  <c r="N134" i="20"/>
  <c r="P133" i="20"/>
  <c r="O133" i="20"/>
  <c r="N133" i="20"/>
  <c r="P132" i="20"/>
  <c r="O132" i="20"/>
  <c r="N132" i="20"/>
  <c r="P131" i="20"/>
  <c r="O131" i="20"/>
  <c r="N131" i="20"/>
  <c r="P130" i="20"/>
  <c r="O130" i="20"/>
  <c r="N130" i="20"/>
  <c r="P129" i="20"/>
  <c r="O129" i="20"/>
  <c r="N129" i="20"/>
  <c r="P128" i="20"/>
  <c r="O128" i="20"/>
  <c r="N128" i="20"/>
  <c r="P127" i="20"/>
  <c r="O127" i="20"/>
  <c r="N127" i="20"/>
  <c r="P126" i="20"/>
  <c r="O126" i="20"/>
  <c r="N126" i="20"/>
  <c r="P125" i="20"/>
  <c r="O125" i="20"/>
  <c r="N125" i="20"/>
  <c r="P124" i="20"/>
  <c r="O124" i="20"/>
  <c r="N124" i="20"/>
  <c r="H93" i="20"/>
  <c r="G93" i="20"/>
  <c r="F93" i="20"/>
  <c r="H92" i="20"/>
  <c r="G92" i="20"/>
  <c r="F92" i="20"/>
  <c r="H91" i="20"/>
  <c r="G91" i="20"/>
  <c r="F91" i="20"/>
  <c r="H90" i="20"/>
  <c r="G90" i="20"/>
  <c r="F90" i="20"/>
  <c r="H89" i="20"/>
  <c r="G89" i="20"/>
  <c r="F89" i="20"/>
  <c r="H88" i="20"/>
  <c r="G88" i="20"/>
  <c r="F88" i="20"/>
  <c r="H87" i="20"/>
  <c r="G87" i="20"/>
  <c r="F87" i="20"/>
  <c r="H86" i="20"/>
  <c r="G86" i="20"/>
  <c r="F86" i="20"/>
  <c r="H85" i="20"/>
  <c r="G85" i="20"/>
  <c r="F85" i="20"/>
  <c r="H84" i="20"/>
  <c r="G84" i="20"/>
  <c r="F84" i="20"/>
  <c r="H83" i="20"/>
  <c r="G83" i="20"/>
  <c r="F83" i="20"/>
  <c r="H82" i="20"/>
  <c r="G82" i="20"/>
  <c r="F82" i="20"/>
  <c r="H81" i="20"/>
  <c r="G81" i="20"/>
  <c r="F81" i="20"/>
  <c r="H80" i="20"/>
  <c r="G80" i="20"/>
  <c r="F80" i="20"/>
  <c r="H79" i="20"/>
  <c r="G79" i="20"/>
  <c r="F79" i="20"/>
  <c r="H78" i="20"/>
  <c r="G78" i="20"/>
  <c r="F78" i="20"/>
  <c r="H77" i="20"/>
  <c r="G77" i="20"/>
  <c r="F77" i="20"/>
  <c r="H76" i="20"/>
  <c r="G76" i="20"/>
  <c r="F76" i="20"/>
  <c r="H75" i="20"/>
  <c r="G75" i="20"/>
  <c r="F75" i="20"/>
  <c r="H74" i="20"/>
  <c r="G74" i="20"/>
  <c r="F74" i="20"/>
  <c r="J68" i="20"/>
  <c r="I68" i="20"/>
  <c r="H68" i="20"/>
  <c r="J67" i="20"/>
  <c r="I67" i="20"/>
  <c r="H67" i="20"/>
  <c r="J66" i="20"/>
  <c r="I66" i="20"/>
  <c r="H66" i="20"/>
  <c r="J65" i="20"/>
  <c r="I65" i="20"/>
  <c r="H65" i="20"/>
  <c r="J64" i="20"/>
  <c r="I64" i="20"/>
  <c r="H64" i="20"/>
  <c r="J63" i="20"/>
  <c r="I63" i="20"/>
  <c r="H63" i="20"/>
  <c r="J62" i="20"/>
  <c r="I62" i="20"/>
  <c r="H62" i="20"/>
  <c r="J61" i="20"/>
  <c r="I61" i="20"/>
  <c r="H61" i="20"/>
  <c r="J60" i="20"/>
  <c r="I60" i="20"/>
  <c r="H60" i="20"/>
  <c r="J59" i="20"/>
  <c r="I59" i="20"/>
  <c r="H59" i="20"/>
  <c r="J58" i="20"/>
  <c r="I58" i="20"/>
  <c r="H58" i="20"/>
  <c r="J57" i="20"/>
  <c r="I57" i="20"/>
  <c r="H57" i="20"/>
  <c r="J56" i="20"/>
  <c r="I56" i="20"/>
  <c r="H56" i="20"/>
  <c r="J55" i="20"/>
  <c r="I55" i="20"/>
  <c r="H55" i="20"/>
  <c r="J54" i="20"/>
  <c r="I54" i="20"/>
  <c r="H54" i="20"/>
  <c r="J53" i="20"/>
  <c r="I53" i="20"/>
  <c r="H53" i="20"/>
  <c r="J52" i="20"/>
  <c r="I52" i="20"/>
  <c r="H52" i="20"/>
  <c r="J51" i="20"/>
  <c r="I51" i="20"/>
  <c r="H51" i="20"/>
  <c r="J50" i="20"/>
  <c r="I50" i="20"/>
  <c r="H50" i="20"/>
  <c r="J49" i="20"/>
  <c r="I49" i="20"/>
  <c r="H49" i="20"/>
  <c r="L43" i="20"/>
  <c r="K43" i="20"/>
  <c r="J43" i="20"/>
  <c r="L42" i="20"/>
  <c r="K42" i="20"/>
  <c r="J42" i="20"/>
  <c r="L41" i="20"/>
  <c r="K41" i="20"/>
  <c r="J41" i="20"/>
  <c r="L40" i="20"/>
  <c r="K40" i="20"/>
  <c r="J40" i="20"/>
  <c r="L39" i="20"/>
  <c r="K39" i="20"/>
  <c r="J39" i="20"/>
  <c r="L38" i="20"/>
  <c r="K38" i="20"/>
  <c r="J38" i="20"/>
  <c r="L37" i="20"/>
  <c r="K37" i="20"/>
  <c r="J37" i="20"/>
  <c r="L36" i="20"/>
  <c r="K36" i="20"/>
  <c r="J36" i="20"/>
  <c r="L35" i="20"/>
  <c r="K35" i="20"/>
  <c r="J35" i="20"/>
  <c r="L34" i="20"/>
  <c r="K34" i="20"/>
  <c r="J34" i="20"/>
  <c r="C4" i="24"/>
  <c r="C16" i="24"/>
  <c r="C15" i="24"/>
  <c r="C14" i="24"/>
  <c r="C6" i="24"/>
  <c r="I53" i="24" s="1"/>
  <c r="C3" i="24"/>
  <c r="D39" i="24" s="1"/>
  <c r="C2" i="24"/>
  <c r="C55" i="24" s="1"/>
  <c r="C1" i="24"/>
  <c r="G57" i="24"/>
  <c r="F57" i="24"/>
  <c r="G50" i="24"/>
  <c r="F50" i="24"/>
  <c r="I35" i="24"/>
  <c r="C11" i="24"/>
  <c r="C8" i="24"/>
  <c r="C7" i="24"/>
  <c r="E11" i="13"/>
  <c r="E19" i="13" s="1"/>
  <c r="Z6" i="5"/>
  <c r="Z7" i="5"/>
  <c r="Z8" i="5"/>
  <c r="Z9" i="5"/>
  <c r="Z10" i="5"/>
  <c r="Z11" i="5"/>
  <c r="Z12" i="5"/>
  <c r="Z13" i="5"/>
  <c r="Z14" i="5"/>
  <c r="Z15" i="5"/>
  <c r="Z16" i="5"/>
  <c r="Z17" i="5"/>
  <c r="Z18" i="5"/>
  <c r="Z19" i="5"/>
  <c r="Z20" i="5"/>
  <c r="Z21" i="5"/>
  <c r="Z22" i="5"/>
  <c r="Z23" i="5"/>
  <c r="Z24" i="5"/>
  <c r="Z25" i="5"/>
  <c r="B7" i="2"/>
  <c r="AZ152" i="21"/>
  <c r="AZ151" i="21"/>
  <c r="AZ150" i="21"/>
  <c r="M71" i="10"/>
  <c r="N71" i="10" s="1"/>
  <c r="M70" i="10"/>
  <c r="N70" i="10" s="1"/>
  <c r="M69" i="10"/>
  <c r="N69" i="10" s="1"/>
  <c r="M68" i="10"/>
  <c r="N68" i="10" s="1"/>
  <c r="M67" i="10"/>
  <c r="N67" i="10" s="1"/>
  <c r="M66" i="10"/>
  <c r="N66" i="10" s="1"/>
  <c r="M65" i="10"/>
  <c r="N65" i="10" s="1"/>
  <c r="M64" i="10"/>
  <c r="N64" i="10" s="1"/>
  <c r="M63" i="10"/>
  <c r="N63" i="10" s="1"/>
  <c r="M62" i="10"/>
  <c r="N62" i="10" s="1"/>
  <c r="M61" i="10"/>
  <c r="N61" i="10" s="1"/>
  <c r="M60" i="10"/>
  <c r="N60" i="10" s="1"/>
  <c r="M59" i="10"/>
  <c r="N59" i="10" s="1"/>
  <c r="M58" i="10"/>
  <c r="N58" i="10" s="1"/>
  <c r="M57" i="10"/>
  <c r="N57" i="10" s="1"/>
  <c r="M56" i="10"/>
  <c r="N56" i="10" s="1"/>
  <c r="M55" i="10"/>
  <c r="N55" i="10" s="1"/>
  <c r="M54" i="10"/>
  <c r="N54" i="10" s="1"/>
  <c r="M53" i="10"/>
  <c r="N53" i="10" s="1"/>
  <c r="M52" i="10"/>
  <c r="N52" i="10" s="1"/>
  <c r="T42" i="21"/>
  <c r="AD60" i="21"/>
  <c r="AD68" i="21" s="1"/>
  <c r="AD58" i="21"/>
  <c r="AD56" i="21"/>
  <c r="G16" i="21"/>
  <c r="G13" i="21"/>
  <c r="G17" i="21"/>
  <c r="G15" i="21"/>
  <c r="G14" i="21"/>
  <c r="G12" i="21"/>
  <c r="C9" i="21"/>
  <c r="AB10" i="21" s="1"/>
  <c r="R38" i="23"/>
  <c r="R29" i="21"/>
  <c r="J5" i="21"/>
  <c r="A342" i="22"/>
  <c r="A341" i="22"/>
  <c r="AB204" i="22"/>
  <c r="AA204" i="22"/>
  <c r="AB203" i="22"/>
  <c r="AA203" i="22"/>
  <c r="AB202" i="22"/>
  <c r="AB201" i="22"/>
  <c r="AB200" i="22"/>
  <c r="AA200" i="22"/>
  <c r="G85" i="22"/>
  <c r="E69" i="22"/>
  <c r="T48" i="22"/>
  <c r="T42" i="22"/>
  <c r="S40" i="22"/>
  <c r="U32" i="22"/>
  <c r="S32" i="22"/>
  <c r="R32" i="22"/>
  <c r="T47" i="22" s="1"/>
  <c r="E32" i="22"/>
  <c r="U31" i="22"/>
  <c r="S31" i="22"/>
  <c r="R31" i="22"/>
  <c r="T46" i="22" s="1"/>
  <c r="E31" i="22"/>
  <c r="U30" i="22"/>
  <c r="S30" i="22"/>
  <c r="R30" i="22"/>
  <c r="T45" i="22" s="1"/>
  <c r="E30" i="22"/>
  <c r="U29" i="22"/>
  <c r="S29" i="22"/>
  <c r="R29" i="22"/>
  <c r="T44" i="22" s="1"/>
  <c r="E29" i="22"/>
  <c r="U28" i="22"/>
  <c r="S28" i="22"/>
  <c r="R28" i="22"/>
  <c r="T43" i="22" s="1"/>
  <c r="E28" i="22"/>
  <c r="H3" i="20"/>
  <c r="A35" i="2"/>
  <c r="B35" i="2"/>
  <c r="K35" i="2" s="1"/>
  <c r="C35" i="2"/>
  <c r="D35" i="2"/>
  <c r="F35" i="2"/>
  <c r="G35" i="2"/>
  <c r="I35" i="2"/>
  <c r="L200" i="19"/>
  <c r="L28" i="20" s="1"/>
  <c r="I200" i="19"/>
  <c r="I28" i="20" s="1"/>
  <c r="A34" i="2"/>
  <c r="B34" i="2"/>
  <c r="K34" i="2" s="1"/>
  <c r="C34" i="2"/>
  <c r="D34" i="2"/>
  <c r="F34" i="2"/>
  <c r="G34" i="2"/>
  <c r="I34" i="2"/>
  <c r="O27" i="20"/>
  <c r="L199" i="19"/>
  <c r="L27" i="20" s="1"/>
  <c r="I199" i="19"/>
  <c r="I27" i="20" s="1"/>
  <c r="A33" i="2"/>
  <c r="B33" i="2"/>
  <c r="K33" i="2" s="1"/>
  <c r="C33" i="2"/>
  <c r="D33" i="2"/>
  <c r="F33" i="2"/>
  <c r="G33" i="2"/>
  <c r="I33" i="2"/>
  <c r="L198" i="19"/>
  <c r="L26" i="20" s="1"/>
  <c r="I198" i="19"/>
  <c r="I26" i="20" s="1"/>
  <c r="A32" i="2"/>
  <c r="B32" i="2"/>
  <c r="K32" i="2" s="1"/>
  <c r="C32" i="2"/>
  <c r="D32" i="2"/>
  <c r="F32" i="2"/>
  <c r="G32" i="2"/>
  <c r="I32" i="2"/>
  <c r="L197" i="19"/>
  <c r="L25" i="20" s="1"/>
  <c r="I197" i="19"/>
  <c r="I25" i="20" s="1"/>
  <c r="A31" i="2"/>
  <c r="B31" i="2"/>
  <c r="K31" i="2" s="1"/>
  <c r="C31" i="2"/>
  <c r="D31" i="2"/>
  <c r="F31" i="2"/>
  <c r="G31" i="2"/>
  <c r="I31" i="2"/>
  <c r="L196" i="19"/>
  <c r="L24" i="20" s="1"/>
  <c r="I196" i="19"/>
  <c r="I24" i="20" s="1"/>
  <c r="A30" i="2"/>
  <c r="B30" i="2"/>
  <c r="K30" i="2" s="1"/>
  <c r="C30" i="2"/>
  <c r="D30" i="2"/>
  <c r="F30" i="2"/>
  <c r="G30" i="2"/>
  <c r="I30" i="2"/>
  <c r="L195" i="19"/>
  <c r="L23" i="20" s="1"/>
  <c r="I195" i="19"/>
  <c r="I23" i="20" s="1"/>
  <c r="A29" i="2"/>
  <c r="B29" i="2"/>
  <c r="K29" i="2" s="1"/>
  <c r="C29" i="2"/>
  <c r="D29" i="2"/>
  <c r="F29" i="2"/>
  <c r="G29" i="2"/>
  <c r="I29" i="2"/>
  <c r="L194" i="19"/>
  <c r="L22" i="20" s="1"/>
  <c r="I194" i="19"/>
  <c r="I22" i="20" s="1"/>
  <c r="A28" i="2"/>
  <c r="B28" i="2"/>
  <c r="K28" i="2" s="1"/>
  <c r="C28" i="2"/>
  <c r="D28" i="2"/>
  <c r="F28" i="2"/>
  <c r="G28" i="2"/>
  <c r="I28" i="2"/>
  <c r="L193" i="19"/>
  <c r="L21" i="20" s="1"/>
  <c r="I193" i="19"/>
  <c r="I21" i="20" s="1"/>
  <c r="A27" i="2"/>
  <c r="B27" i="2"/>
  <c r="K27" i="2" s="1"/>
  <c r="C27" i="2"/>
  <c r="D27" i="2"/>
  <c r="F27" i="2"/>
  <c r="G27" i="2"/>
  <c r="I27" i="2"/>
  <c r="L192" i="19"/>
  <c r="L20" i="20" s="1"/>
  <c r="I192" i="19"/>
  <c r="I20" i="20" s="1"/>
  <c r="A26" i="2"/>
  <c r="B26" i="2"/>
  <c r="K26" i="2" s="1"/>
  <c r="C26" i="2"/>
  <c r="D26" i="2"/>
  <c r="F26" i="2"/>
  <c r="G26" i="2"/>
  <c r="I26" i="2"/>
  <c r="L191" i="19"/>
  <c r="L19" i="20" s="1"/>
  <c r="I191" i="19"/>
  <c r="I19" i="20" s="1"/>
  <c r="A25" i="2"/>
  <c r="B25" i="2"/>
  <c r="K25" i="2" s="1"/>
  <c r="C25" i="2"/>
  <c r="D25" i="2"/>
  <c r="F25" i="2"/>
  <c r="G25" i="2"/>
  <c r="I25" i="2"/>
  <c r="L190" i="19"/>
  <c r="L18" i="20" s="1"/>
  <c r="I190" i="19"/>
  <c r="I18" i="20" s="1"/>
  <c r="A24" i="2"/>
  <c r="B24" i="2"/>
  <c r="K24" i="2" s="1"/>
  <c r="C24" i="2"/>
  <c r="D24" i="2"/>
  <c r="F24" i="2"/>
  <c r="G24" i="2"/>
  <c r="I24" i="2"/>
  <c r="L189" i="19"/>
  <c r="L17" i="20" s="1"/>
  <c r="I189" i="19"/>
  <c r="I17" i="20" s="1"/>
  <c r="A23" i="2"/>
  <c r="B23" i="2"/>
  <c r="K23" i="2" s="1"/>
  <c r="C23" i="2"/>
  <c r="D23" i="2"/>
  <c r="F23" i="2"/>
  <c r="G23" i="2"/>
  <c r="I23" i="2"/>
  <c r="L188" i="19"/>
  <c r="L16" i="20" s="1"/>
  <c r="I188" i="19"/>
  <c r="I16" i="20" s="1"/>
  <c r="A22" i="2"/>
  <c r="B22" i="2"/>
  <c r="K22" i="2" s="1"/>
  <c r="C22" i="2"/>
  <c r="D22" i="2"/>
  <c r="F22" i="2"/>
  <c r="G22" i="2"/>
  <c r="I22" i="2"/>
  <c r="L187" i="19"/>
  <c r="L15" i="20" s="1"/>
  <c r="I187" i="19"/>
  <c r="I15" i="20" s="1"/>
  <c r="A21" i="2"/>
  <c r="B21" i="2"/>
  <c r="K21" i="2" s="1"/>
  <c r="C21" i="2"/>
  <c r="D21" i="2"/>
  <c r="F21" i="2"/>
  <c r="G21" i="2"/>
  <c r="I21" i="2"/>
  <c r="L186" i="19"/>
  <c r="L14" i="20" s="1"/>
  <c r="I186" i="19"/>
  <c r="I14" i="20" s="1"/>
  <c r="A20" i="2"/>
  <c r="B20" i="2"/>
  <c r="K20" i="2" s="1"/>
  <c r="C20" i="2"/>
  <c r="D20" i="2"/>
  <c r="F20" i="2"/>
  <c r="G20" i="2"/>
  <c r="I20" i="2"/>
  <c r="L185" i="19"/>
  <c r="L13" i="20" s="1"/>
  <c r="I185" i="19"/>
  <c r="I13" i="20" s="1"/>
  <c r="A19" i="2"/>
  <c r="B19" i="2"/>
  <c r="K19" i="2" s="1"/>
  <c r="C19" i="2"/>
  <c r="D19" i="2"/>
  <c r="F19" i="2"/>
  <c r="G19" i="2"/>
  <c r="I19" i="2"/>
  <c r="O12" i="20"/>
  <c r="L184" i="19"/>
  <c r="L12" i="20" s="1"/>
  <c r="I184" i="19"/>
  <c r="I12" i="20" s="1"/>
  <c r="A18" i="2"/>
  <c r="B18" i="2"/>
  <c r="K18" i="2" s="1"/>
  <c r="C18" i="2"/>
  <c r="D18" i="2"/>
  <c r="F18" i="2"/>
  <c r="G18" i="2"/>
  <c r="I18" i="2"/>
  <c r="L183" i="19"/>
  <c r="L11" i="20" s="1"/>
  <c r="I183" i="19"/>
  <c r="I11" i="20" s="1"/>
  <c r="A17" i="2"/>
  <c r="B17" i="2"/>
  <c r="K17" i="2" s="1"/>
  <c r="C17" i="2"/>
  <c r="D17" i="2"/>
  <c r="F17" i="2"/>
  <c r="G17" i="2"/>
  <c r="I17" i="2"/>
  <c r="L182" i="19"/>
  <c r="L10" i="20" s="1"/>
  <c r="I182" i="19"/>
  <c r="I10" i="20" s="1"/>
  <c r="A16" i="2"/>
  <c r="B16" i="2"/>
  <c r="K16" i="2" s="1"/>
  <c r="C16" i="2"/>
  <c r="D16" i="2"/>
  <c r="F16" i="2"/>
  <c r="G16" i="2"/>
  <c r="I16" i="2"/>
  <c r="L181" i="19"/>
  <c r="L9" i="20" s="1"/>
  <c r="I181" i="19"/>
  <c r="I9" i="20" s="1"/>
  <c r="R29" i="16"/>
  <c r="R29" i="14"/>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25" i="3"/>
  <c r="V24" i="3"/>
  <c r="V23" i="3"/>
  <c r="V22" i="3"/>
  <c r="V21" i="3"/>
  <c r="V20" i="3"/>
  <c r="V19" i="3"/>
  <c r="V18" i="3"/>
  <c r="V17" i="3"/>
  <c r="V16" i="3"/>
  <c r="V15" i="3"/>
  <c r="V14" i="3"/>
  <c r="V13" i="3"/>
  <c r="V12" i="3"/>
  <c r="V11" i="3"/>
  <c r="V10" i="3"/>
  <c r="V9" i="3"/>
  <c r="V8" i="3"/>
  <c r="V7" i="3"/>
  <c r="V6" i="3"/>
  <c r="C7" i="12"/>
  <c r="E17" i="13" s="1"/>
  <c r="B75" i="5"/>
  <c r="A75" i="5"/>
  <c r="V25" i="5"/>
  <c r="B74" i="5"/>
  <c r="A74" i="5"/>
  <c r="V24" i="5"/>
  <c r="B73" i="5"/>
  <c r="A73" i="5"/>
  <c r="V23" i="5"/>
  <c r="B72" i="5"/>
  <c r="A72" i="5"/>
  <c r="V22" i="5"/>
  <c r="B71" i="5"/>
  <c r="A71" i="5"/>
  <c r="V21" i="5"/>
  <c r="B70" i="5"/>
  <c r="A70" i="5"/>
  <c r="V20" i="5"/>
  <c r="B69" i="5"/>
  <c r="A69" i="5"/>
  <c r="V19" i="5"/>
  <c r="B68" i="5"/>
  <c r="A68" i="5"/>
  <c r="V18" i="5"/>
  <c r="B67" i="5"/>
  <c r="A67" i="5"/>
  <c r="V17" i="5"/>
  <c r="B66" i="5"/>
  <c r="A66" i="5"/>
  <c r="V16" i="5"/>
  <c r="B65" i="5"/>
  <c r="A65" i="5"/>
  <c r="V15" i="5"/>
  <c r="B64" i="5"/>
  <c r="A64" i="5"/>
  <c r="V14" i="5"/>
  <c r="B63" i="5"/>
  <c r="A63" i="5"/>
  <c r="V13" i="5"/>
  <c r="B62" i="5"/>
  <c r="A62" i="5"/>
  <c r="V12" i="5"/>
  <c r="B61" i="5"/>
  <c r="A61" i="5"/>
  <c r="V11" i="5"/>
  <c r="B60" i="5"/>
  <c r="A60" i="5"/>
  <c r="V10" i="5"/>
  <c r="B59" i="5"/>
  <c r="A59" i="5"/>
  <c r="V9" i="5"/>
  <c r="B58" i="5"/>
  <c r="A58" i="5"/>
  <c r="V8" i="5"/>
  <c r="B57" i="5"/>
  <c r="A57" i="5"/>
  <c r="V7" i="5"/>
  <c r="B56" i="5"/>
  <c r="A56" i="5"/>
  <c r="V6" i="5"/>
  <c r="AJ50" i="19"/>
  <c r="AI50" i="19"/>
  <c r="AH50" i="19"/>
  <c r="AJ49" i="19"/>
  <c r="AI49" i="19"/>
  <c r="AH49" i="19"/>
  <c r="AJ48" i="19"/>
  <c r="AI48" i="19"/>
  <c r="AH48" i="19"/>
  <c r="AJ47" i="19"/>
  <c r="AI47" i="19"/>
  <c r="AH47" i="19"/>
  <c r="AJ46" i="19"/>
  <c r="AI46" i="19"/>
  <c r="AH46" i="19"/>
  <c r="AJ45" i="19"/>
  <c r="AI45" i="19"/>
  <c r="AH45" i="19"/>
  <c r="AJ44" i="19"/>
  <c r="AI44" i="19"/>
  <c r="AH44" i="19"/>
  <c r="AJ43" i="19"/>
  <c r="AI43" i="19"/>
  <c r="AH43" i="19"/>
  <c r="AJ42" i="19"/>
  <c r="AI42" i="19"/>
  <c r="AH42" i="19"/>
  <c r="AJ41" i="19"/>
  <c r="AI41" i="19"/>
  <c r="AH41" i="19"/>
  <c r="AJ40" i="19"/>
  <c r="AI40" i="19"/>
  <c r="AH40" i="19"/>
  <c r="AJ39" i="19"/>
  <c r="AI39" i="19"/>
  <c r="AH39" i="19"/>
  <c r="AJ38" i="19"/>
  <c r="AI38" i="19"/>
  <c r="AH38" i="19"/>
  <c r="AJ37" i="19"/>
  <c r="AI37" i="19"/>
  <c r="AH37" i="19"/>
  <c r="AJ36" i="19"/>
  <c r="AI36" i="19"/>
  <c r="AH36" i="19"/>
  <c r="AJ35" i="19"/>
  <c r="AI35" i="19"/>
  <c r="AH35" i="19"/>
  <c r="AJ34" i="19"/>
  <c r="AI34" i="19"/>
  <c r="AH34" i="19"/>
  <c r="AJ33" i="19"/>
  <c r="AI33" i="19"/>
  <c r="AH33" i="19"/>
  <c r="AJ32" i="19"/>
  <c r="AI32" i="19"/>
  <c r="AH32" i="19"/>
  <c r="AJ31" i="19"/>
  <c r="AI31" i="19"/>
  <c r="AH31" i="19"/>
  <c r="R38" i="11"/>
  <c r="J5" i="16"/>
  <c r="J5" i="14"/>
  <c r="A110" i="19"/>
  <c r="A109" i="19"/>
  <c r="A108" i="19"/>
  <c r="A107" i="19"/>
  <c r="A106" i="19"/>
  <c r="A105" i="19"/>
  <c r="A104" i="19"/>
  <c r="A103" i="19"/>
  <c r="A102" i="19"/>
  <c r="A101" i="19"/>
  <c r="A100" i="19"/>
  <c r="A99" i="19"/>
  <c r="A98" i="19"/>
  <c r="A97" i="19"/>
  <c r="A96" i="19"/>
  <c r="A95" i="19"/>
  <c r="A94" i="19"/>
  <c r="A93" i="19"/>
  <c r="A92" i="19"/>
  <c r="A91" i="19"/>
  <c r="C8" i="12"/>
  <c r="C4" i="12"/>
  <c r="G24" i="12" s="1"/>
  <c r="C1" i="12"/>
  <c r="C3" i="12" s="1"/>
  <c r="AH80" i="19"/>
  <c r="AH79" i="19"/>
  <c r="AH78" i="19"/>
  <c r="AH77" i="19"/>
  <c r="AH76" i="19"/>
  <c r="AH75" i="19"/>
  <c r="AH74" i="19"/>
  <c r="AH73" i="19"/>
  <c r="AH72" i="19"/>
  <c r="AH71" i="19"/>
  <c r="AH70" i="19"/>
  <c r="AH69" i="19"/>
  <c r="AH68" i="19"/>
  <c r="AH67" i="19"/>
  <c r="AH66" i="19"/>
  <c r="AH65" i="19"/>
  <c r="AH64" i="19"/>
  <c r="AH63" i="19"/>
  <c r="AH62" i="19"/>
  <c r="AH61" i="19"/>
  <c r="K50" i="19"/>
  <c r="J50" i="19"/>
  <c r="I50" i="19"/>
  <c r="H50" i="19"/>
  <c r="AK50" i="19"/>
  <c r="K49" i="19"/>
  <c r="J49" i="19"/>
  <c r="I49" i="19"/>
  <c r="H49" i="19"/>
  <c r="AK49" i="19"/>
  <c r="K48" i="19"/>
  <c r="J48" i="19"/>
  <c r="I48" i="19"/>
  <c r="H48" i="19"/>
  <c r="AK48" i="19"/>
  <c r="K47" i="19"/>
  <c r="J47" i="19"/>
  <c r="I47" i="19"/>
  <c r="H47" i="19"/>
  <c r="AK47" i="19"/>
  <c r="K46" i="19"/>
  <c r="J46" i="19"/>
  <c r="I46" i="19"/>
  <c r="H46" i="19"/>
  <c r="AK46" i="19"/>
  <c r="K45" i="19"/>
  <c r="J45" i="19"/>
  <c r="I45" i="19"/>
  <c r="H45" i="19"/>
  <c r="AK45" i="19"/>
  <c r="K44" i="19"/>
  <c r="J44" i="19"/>
  <c r="I44" i="19"/>
  <c r="H44" i="19"/>
  <c r="AK44" i="19"/>
  <c r="K43" i="19"/>
  <c r="J43" i="19"/>
  <c r="I43" i="19"/>
  <c r="H43" i="19"/>
  <c r="AK43" i="19"/>
  <c r="K42" i="19"/>
  <c r="J42" i="19"/>
  <c r="I42" i="19"/>
  <c r="H42" i="19"/>
  <c r="AK42" i="19"/>
  <c r="K41" i="19"/>
  <c r="J41" i="19"/>
  <c r="I41" i="19"/>
  <c r="H41" i="19"/>
  <c r="AK41" i="19"/>
  <c r="K40" i="19"/>
  <c r="J40" i="19"/>
  <c r="I40" i="19"/>
  <c r="H40" i="19"/>
  <c r="AK40" i="19"/>
  <c r="K39" i="19"/>
  <c r="J39" i="19"/>
  <c r="I39" i="19"/>
  <c r="H39" i="19"/>
  <c r="AK39" i="19"/>
  <c r="K38" i="19"/>
  <c r="J38" i="19"/>
  <c r="I38" i="19"/>
  <c r="H38" i="19"/>
  <c r="AK38" i="19"/>
  <c r="K37" i="19"/>
  <c r="J37" i="19"/>
  <c r="I37" i="19"/>
  <c r="H37" i="19"/>
  <c r="AK37" i="19"/>
  <c r="K36" i="19"/>
  <c r="J36" i="19"/>
  <c r="I36" i="19"/>
  <c r="H36" i="19"/>
  <c r="AK36" i="19"/>
  <c r="K35" i="19"/>
  <c r="J35" i="19"/>
  <c r="I35" i="19"/>
  <c r="H35" i="19"/>
  <c r="AK35" i="19"/>
  <c r="K34" i="19"/>
  <c r="J34" i="19"/>
  <c r="I34" i="19"/>
  <c r="H34" i="19"/>
  <c r="AK34" i="19"/>
  <c r="K33" i="19"/>
  <c r="J33" i="19"/>
  <c r="I33" i="19"/>
  <c r="H33" i="19"/>
  <c r="AK33" i="19"/>
  <c r="K32" i="19"/>
  <c r="J32" i="19"/>
  <c r="I32" i="19"/>
  <c r="H32" i="19"/>
  <c r="AK32" i="19"/>
  <c r="K31" i="19"/>
  <c r="J31" i="19"/>
  <c r="I31" i="19"/>
  <c r="H31" i="19"/>
  <c r="AK31" i="19"/>
  <c r="A140" i="19"/>
  <c r="C9" i="16"/>
  <c r="C4" i="22" s="1"/>
  <c r="C9" i="14"/>
  <c r="Y46" i="19"/>
  <c r="E185" i="19"/>
  <c r="E190" i="19"/>
  <c r="Y40" i="19"/>
  <c r="K66" i="19"/>
  <c r="E198" i="19"/>
  <c r="K68" i="19"/>
  <c r="Y42" i="19"/>
  <c r="K73" i="19"/>
  <c r="Y35" i="19"/>
  <c r="K103" i="19"/>
  <c r="F15" i="19"/>
  <c r="K102" i="19"/>
  <c r="Y50" i="19"/>
  <c r="E186" i="19"/>
  <c r="K76" i="19"/>
  <c r="E187" i="19"/>
  <c r="Y32" i="19"/>
  <c r="K101" i="19"/>
  <c r="K95" i="19"/>
  <c r="K92" i="19"/>
  <c r="K78" i="19"/>
  <c r="Y48" i="19"/>
  <c r="F18" i="19"/>
  <c r="F12" i="19"/>
  <c r="F14" i="19"/>
  <c r="Y33" i="19"/>
  <c r="Y43" i="19"/>
  <c r="E191" i="19"/>
  <c r="F20" i="19"/>
  <c r="K100" i="19"/>
  <c r="Y44" i="19"/>
  <c r="K71" i="19"/>
  <c r="K80" i="19"/>
  <c r="K105" i="19"/>
  <c r="K110" i="19"/>
  <c r="Y39" i="19"/>
  <c r="Y38" i="19"/>
  <c r="E184" i="19"/>
  <c r="I25" i="22"/>
  <c r="K91" i="19"/>
  <c r="K63" i="19"/>
  <c r="K98" i="19"/>
  <c r="Y47" i="19"/>
  <c r="E196" i="19"/>
  <c r="K70" i="19"/>
  <c r="E182" i="19"/>
  <c r="F19" i="19"/>
  <c r="E181" i="19"/>
  <c r="F11" i="19"/>
  <c r="E199" i="19"/>
  <c r="Y41" i="19"/>
  <c r="E183" i="19"/>
  <c r="E192" i="19"/>
  <c r="K108" i="19"/>
  <c r="K99" i="19"/>
  <c r="K96" i="19"/>
  <c r="K67" i="19"/>
  <c r="K79" i="19"/>
  <c r="E188" i="19"/>
  <c r="K94" i="19"/>
  <c r="K75" i="19"/>
  <c r="K74" i="19"/>
  <c r="K62" i="19"/>
  <c r="F17" i="19"/>
  <c r="E200" i="19"/>
  <c r="K97" i="19"/>
  <c r="K107" i="19"/>
  <c r="K109" i="19"/>
  <c r="E193" i="19"/>
  <c r="E189" i="19"/>
  <c r="Y36" i="19"/>
  <c r="Y34" i="19"/>
  <c r="K61" i="19"/>
  <c r="K69" i="19"/>
  <c r="Y45" i="19"/>
  <c r="F16" i="19"/>
  <c r="K93" i="19"/>
  <c r="F13" i="19"/>
  <c r="Y31" i="19"/>
  <c r="K64" i="19"/>
  <c r="K106" i="19"/>
  <c r="E194" i="19"/>
  <c r="K65" i="19"/>
  <c r="K104" i="19"/>
  <c r="Y49" i="19"/>
  <c r="K77" i="19"/>
  <c r="Y37" i="19"/>
  <c r="L11" i="24"/>
  <c r="E197" i="19"/>
  <c r="K72" i="19"/>
  <c r="E195" i="19"/>
  <c r="I16" i="19"/>
  <c r="I20" i="19"/>
  <c r="E32" i="24" l="1"/>
  <c r="G24" i="24"/>
  <c r="C13" i="24"/>
  <c r="C17" i="24" s="1"/>
  <c r="C10" i="24"/>
  <c r="C46" i="24" s="1"/>
  <c r="D22" i="24"/>
  <c r="F74" i="24"/>
  <c r="C39" i="24"/>
  <c r="F61" i="24"/>
  <c r="R40" i="21"/>
  <c r="G24" i="21"/>
  <c r="G23" i="21"/>
  <c r="E18" i="20"/>
  <c r="I43" i="20"/>
  <c r="E26" i="20"/>
  <c r="E25" i="20"/>
  <c r="I39" i="20"/>
  <c r="E15" i="20"/>
  <c r="F39" i="20"/>
  <c r="F42" i="20"/>
  <c r="F38" i="20"/>
  <c r="E19" i="20"/>
  <c r="E21" i="20"/>
  <c r="F37" i="20"/>
  <c r="F40" i="20"/>
  <c r="F43" i="20"/>
  <c r="F35" i="20"/>
  <c r="E28" i="20"/>
  <c r="E16" i="20"/>
  <c r="E17" i="20"/>
  <c r="F36" i="20"/>
  <c r="F41" i="20"/>
  <c r="E24" i="20"/>
  <c r="E27" i="20"/>
  <c r="E23" i="20"/>
  <c r="F34" i="20"/>
  <c r="E20" i="20"/>
  <c r="E22" i="20"/>
  <c r="AB12" i="21"/>
  <c r="AE12" i="21"/>
  <c r="AB8" i="21"/>
  <c r="AE8" i="21"/>
  <c r="AE22" i="21" s="1"/>
  <c r="AA58" i="21" s="1"/>
  <c r="AE10" i="21"/>
  <c r="AE16" i="21"/>
  <c r="AB18" i="21"/>
  <c r="AB14" i="21"/>
  <c r="AE18" i="21"/>
  <c r="AB20" i="21"/>
  <c r="AE20" i="21"/>
  <c r="X79" i="21"/>
  <c r="AE14" i="21"/>
  <c r="O77" i="23"/>
  <c r="P47" i="23"/>
  <c r="AS19" i="23"/>
  <c r="BM8" i="23"/>
  <c r="BJ7" i="23"/>
  <c r="BG6" i="23"/>
  <c r="BD5" i="23"/>
  <c r="BA4" i="23"/>
  <c r="AX3" i="23"/>
  <c r="AU2" i="23"/>
  <c r="AA16" i="23"/>
  <c r="BN7" i="23"/>
  <c r="BK5" i="23"/>
  <c r="BH3" i="23"/>
  <c r="BB15" i="23"/>
  <c r="AY13" i="23"/>
  <c r="AV11" i="23"/>
  <c r="AS9" i="23"/>
  <c r="AF16" i="23"/>
  <c r="AE11" i="23"/>
  <c r="AL13" i="23"/>
  <c r="AN7" i="23"/>
  <c r="AO2" i="23"/>
  <c r="AC6" i="23"/>
  <c r="BO2" i="23"/>
  <c r="E112" i="21"/>
  <c r="K74" i="21"/>
  <c r="N59" i="21"/>
  <c r="N52" i="21"/>
  <c r="G38" i="21"/>
  <c r="R73" i="21"/>
  <c r="Q59" i="23"/>
  <c r="P42" i="23"/>
  <c r="Q18" i="23"/>
  <c r="BM3" i="23"/>
  <c r="P117" i="23"/>
  <c r="P114" i="23"/>
  <c r="Q54" i="23"/>
  <c r="BM14" i="23"/>
  <c r="BJ13" i="23"/>
  <c r="BG12" i="23"/>
  <c r="BD11" i="23"/>
  <c r="BA10" i="23"/>
  <c r="AX9" i="23"/>
  <c r="AU8" i="23"/>
  <c r="AR7" i="23"/>
  <c r="BN13" i="23"/>
  <c r="BK11" i="23"/>
  <c r="BH9" i="23"/>
  <c r="BE7" i="23"/>
  <c r="BB5" i="23"/>
  <c r="AY3" i="23"/>
  <c r="AS15" i="23"/>
  <c r="Z15" i="23"/>
  <c r="AD14" i="23"/>
  <c r="AL15" i="23"/>
  <c r="AN9" i="23"/>
  <c r="AI6" i="23"/>
  <c r="AH4" i="23"/>
  <c r="AP2" i="23"/>
  <c r="A119" i="21"/>
  <c r="I69" i="21"/>
  <c r="N38" i="21"/>
  <c r="P111" i="23"/>
  <c r="P46" i="23"/>
  <c r="Q19" i="23"/>
  <c r="BJ16" i="23"/>
  <c r="BG13" i="23"/>
  <c r="BD9" i="23"/>
  <c r="BA6" i="23"/>
  <c r="AX2" i="23"/>
  <c r="AR14" i="23"/>
  <c r="Q15" i="23"/>
  <c r="BK14" i="23"/>
  <c r="BH10" i="23"/>
  <c r="BE5" i="23"/>
  <c r="AY15" i="23"/>
  <c r="AV10" i="23"/>
  <c r="AS6" i="23"/>
  <c r="AE15" i="23"/>
  <c r="AL16" i="23"/>
  <c r="AL10" i="23"/>
  <c r="AB6" i="23"/>
  <c r="AE6" i="23"/>
  <c r="BL2" i="23"/>
  <c r="N88" i="21"/>
  <c r="C70" i="21"/>
  <c r="G53" i="21"/>
  <c r="N40" i="21"/>
  <c r="G29" i="21"/>
  <c r="G87" i="21" s="1"/>
  <c r="P110" i="23"/>
  <c r="P45" i="23"/>
  <c r="R18" i="23"/>
  <c r="BJ15" i="23"/>
  <c r="BG11" i="23"/>
  <c r="BD8" i="23"/>
  <c r="BA5" i="23"/>
  <c r="AU16" i="23"/>
  <c r="AR13" i="23"/>
  <c r="Q14" i="23"/>
  <c r="BK13" i="23"/>
  <c r="BH8" i="23"/>
  <c r="BE4" i="23"/>
  <c r="AY14" i="23"/>
  <c r="AV9" i="23"/>
  <c r="AS5" i="23"/>
  <c r="AD15" i="23"/>
  <c r="AN15" i="23"/>
  <c r="AM9" i="23"/>
  <c r="AB5" i="23"/>
  <c r="AD6" i="23"/>
  <c r="BI2" i="23"/>
  <c r="N87" i="21"/>
  <c r="C69" i="21"/>
  <c r="I40" i="21"/>
  <c r="K25" i="21"/>
  <c r="O78" i="23"/>
  <c r="P44" i="23"/>
  <c r="R17" i="23"/>
  <c r="BJ14" i="23"/>
  <c r="BG10" i="23"/>
  <c r="BD7" i="23"/>
  <c r="BA3" i="23"/>
  <c r="AU15" i="23"/>
  <c r="AR12" i="23"/>
  <c r="Q13" i="23"/>
  <c r="BK12" i="23"/>
  <c r="BH7" i="23"/>
  <c r="BE3" i="23"/>
  <c r="AY12" i="23"/>
  <c r="AV8" i="23"/>
  <c r="AS4" i="23"/>
  <c r="AC15" i="23"/>
  <c r="AM15" i="23"/>
  <c r="AL9" i="23"/>
  <c r="AO4" i="23"/>
  <c r="AE5" i="23"/>
  <c r="BF2" i="23"/>
  <c r="K87" i="21"/>
  <c r="N69" i="21"/>
  <c r="I38" i="21"/>
  <c r="G25" i="21"/>
  <c r="R69" i="23"/>
  <c r="P43" i="23"/>
  <c r="Q17" i="23"/>
  <c r="BJ12" i="23"/>
  <c r="BG9" i="23"/>
  <c r="BD6" i="23"/>
  <c r="BA2" i="23"/>
  <c r="AU14" i="23"/>
  <c r="AR11" i="23"/>
  <c r="BN15" i="23"/>
  <c r="BK10" i="23"/>
  <c r="BH6" i="23"/>
  <c r="BE2" i="23"/>
  <c r="AY11" i="23"/>
  <c r="AV7" i="23"/>
  <c r="AS3" i="23"/>
  <c r="AF14" i="23"/>
  <c r="AN14" i="23"/>
  <c r="AN8" i="23"/>
  <c r="AO3" i="23"/>
  <c r="AD5" i="23"/>
  <c r="BC2" i="23"/>
  <c r="J87" i="21"/>
  <c r="K69" i="21"/>
  <c r="G40" i="21"/>
  <c r="R23" i="21"/>
  <c r="O69" i="23"/>
  <c r="P41" i="23"/>
  <c r="BM16" i="23"/>
  <c r="BJ11" i="23"/>
  <c r="BG8" i="23"/>
  <c r="BD4" i="23"/>
  <c r="AX16" i="23"/>
  <c r="AU13" i="23"/>
  <c r="AR10" i="23"/>
  <c r="BN14" i="23"/>
  <c r="BK9" i="23"/>
  <c r="BH5" i="23"/>
  <c r="BB14" i="23"/>
  <c r="AY10" i="23"/>
  <c r="AV6" i="23"/>
  <c r="AS2" i="23"/>
  <c r="AE14" i="23"/>
  <c r="AM14" i="23"/>
  <c r="AM8" i="23"/>
  <c r="AL5" i="23"/>
  <c r="AC5" i="23"/>
  <c r="AZ2" i="23"/>
  <c r="G84" i="21"/>
  <c r="J69" i="21"/>
  <c r="K38" i="21"/>
  <c r="S65" i="23"/>
  <c r="P40" i="23"/>
  <c r="BM15" i="23"/>
  <c r="BJ10" i="23"/>
  <c r="BG7" i="23"/>
  <c r="BD3" i="23"/>
  <c r="AX15" i="23"/>
  <c r="AU12" i="23"/>
  <c r="AR9" i="23"/>
  <c r="BN12" i="23"/>
  <c r="BK8" i="23"/>
  <c r="BH4" i="23"/>
  <c r="BB13" i="23"/>
  <c r="AY9" i="23"/>
  <c r="AV5" i="23"/>
  <c r="AB15" i="23"/>
  <c r="AC14" i="23"/>
  <c r="AL14" i="23"/>
  <c r="AL8" i="23"/>
  <c r="AK5" i="23"/>
  <c r="AE4" i="23"/>
  <c r="AW2" i="23"/>
  <c r="G83" i="21"/>
  <c r="G68" i="21"/>
  <c r="K36" i="21"/>
  <c r="P60" i="23"/>
  <c r="Q44" i="23"/>
  <c r="BM13" i="23"/>
  <c r="BJ9" i="23"/>
  <c r="BG5" i="23"/>
  <c r="BD2" i="23"/>
  <c r="AX14" i="23"/>
  <c r="AU11" i="23"/>
  <c r="AR8" i="23"/>
  <c r="BN11" i="23"/>
  <c r="BK7" i="23"/>
  <c r="BH2" i="23"/>
  <c r="BB12" i="23"/>
  <c r="AY8" i="23"/>
  <c r="AV4" i="23"/>
  <c r="AB14" i="23"/>
  <c r="AF13" i="23"/>
  <c r="AN13" i="23"/>
  <c r="AM7" i="23"/>
  <c r="AJ5" i="23"/>
  <c r="AD4" i="23"/>
  <c r="AT2" i="23"/>
  <c r="G82" i="21"/>
  <c r="G67" i="21"/>
  <c r="G35" i="21"/>
  <c r="AA201" i="22"/>
  <c r="Q58" i="23"/>
  <c r="Q40" i="23"/>
  <c r="BM12" i="23"/>
  <c r="BJ8" i="23"/>
  <c r="BG4" i="23"/>
  <c r="BA16" i="23"/>
  <c r="AX13" i="23"/>
  <c r="AU10" i="23"/>
  <c r="AR6" i="23"/>
  <c r="BN10" i="23"/>
  <c r="BK6" i="23"/>
  <c r="BE15" i="23"/>
  <c r="BB11" i="23"/>
  <c r="AY7" i="23"/>
  <c r="AV3" i="23"/>
  <c r="Z14" i="23"/>
  <c r="AE13" i="23"/>
  <c r="AM13" i="23"/>
  <c r="AL7" i="23"/>
  <c r="AI5" i="23"/>
  <c r="AC4" i="23"/>
  <c r="AM2" i="23"/>
  <c r="G66" i="21"/>
  <c r="J34" i="21"/>
  <c r="Q57" i="23"/>
  <c r="BM11" i="23"/>
  <c r="BJ6" i="23"/>
  <c r="BG3" i="23"/>
  <c r="BA15" i="23"/>
  <c r="AX12" i="23"/>
  <c r="AU9" i="23"/>
  <c r="AR5" i="23"/>
  <c r="BN9" i="23"/>
  <c r="BK4" i="23"/>
  <c r="BE14" i="23"/>
  <c r="BB10" i="23"/>
  <c r="AY6" i="23"/>
  <c r="AV2" i="23"/>
  <c r="AF17" i="23"/>
  <c r="AD13" i="23"/>
  <c r="AN12" i="23"/>
  <c r="AN6" i="23"/>
  <c r="AH5" i="23"/>
  <c r="Z4" i="23"/>
  <c r="AL2" i="23"/>
  <c r="N78" i="21"/>
  <c r="G65" i="21"/>
  <c r="J52" i="21"/>
  <c r="N33" i="21"/>
  <c r="Q56" i="23"/>
  <c r="R25" i="23"/>
  <c r="BM10" i="23"/>
  <c r="BJ5" i="23"/>
  <c r="BG2" i="23"/>
  <c r="BA14" i="23"/>
  <c r="AX11" i="23"/>
  <c r="AU7" i="23"/>
  <c r="AR4" i="23"/>
  <c r="BN8" i="23"/>
  <c r="BK3" i="23"/>
  <c r="BE13" i="23"/>
  <c r="BB9" i="23"/>
  <c r="AY5" i="23"/>
  <c r="AS14" i="23"/>
  <c r="AE17" i="23"/>
  <c r="AC13" i="23"/>
  <c r="AM12" i="23"/>
  <c r="AM6" i="23"/>
  <c r="AL4" i="23"/>
  <c r="Y4" i="23"/>
  <c r="E117" i="21"/>
  <c r="N77" i="21"/>
  <c r="K63" i="21"/>
  <c r="F52" i="21"/>
  <c r="K33" i="21"/>
  <c r="Q55" i="23"/>
  <c r="T21" i="23"/>
  <c r="BM9" i="23"/>
  <c r="BJ4" i="23"/>
  <c r="BD16" i="23"/>
  <c r="BA13" i="23"/>
  <c r="AX10" i="23"/>
  <c r="AU6" i="23"/>
  <c r="AR3" i="23"/>
  <c r="BN6" i="23"/>
  <c r="BK2" i="23"/>
  <c r="BE12" i="23"/>
  <c r="BB8" i="23"/>
  <c r="AY4" i="23"/>
  <c r="AS13" i="23"/>
  <c r="AD17" i="23"/>
  <c r="AE10" i="23"/>
  <c r="AL12" i="23"/>
  <c r="AL6" i="23"/>
  <c r="AK4" i="23"/>
  <c r="AP3" i="23"/>
  <c r="E116" i="21"/>
  <c r="K78" i="21"/>
  <c r="K58" i="21"/>
  <c r="K51" i="21"/>
  <c r="G33" i="21"/>
  <c r="P116" i="23"/>
  <c r="Q52" i="23"/>
  <c r="AR20" i="23"/>
  <c r="BM6" i="23"/>
  <c r="BJ2" i="23"/>
  <c r="BD14" i="23"/>
  <c r="BA11" i="23"/>
  <c r="AX7" i="23"/>
  <c r="AU4" i="23"/>
  <c r="AA15" i="23"/>
  <c r="BN4" i="23"/>
  <c r="BH14" i="23"/>
  <c r="BE10" i="23"/>
  <c r="BB6" i="23"/>
  <c r="AV15" i="23"/>
  <c r="AS11" i="23"/>
  <c r="AE16" i="23"/>
  <c r="AA7" i="23"/>
  <c r="AM11" i="23"/>
  <c r="AI7" i="23"/>
  <c r="AI4" i="23"/>
  <c r="AL3" i="23"/>
  <c r="E114" i="21"/>
  <c r="K72" i="21"/>
  <c r="E58" i="21"/>
  <c r="N44" i="21"/>
  <c r="Q51" i="23"/>
  <c r="BD15" i="23"/>
  <c r="AR2" i="23"/>
  <c r="BB7" i="23"/>
  <c r="AF10" i="23"/>
  <c r="AM3" i="23"/>
  <c r="G54" i="21"/>
  <c r="O59" i="23"/>
  <c r="BD13" i="23"/>
  <c r="Y16" i="23"/>
  <c r="BB4" i="23"/>
  <c r="AA6" i="23"/>
  <c r="AK3" i="23"/>
  <c r="N45" i="21"/>
  <c r="O52" i="23"/>
  <c r="BD12" i="23"/>
  <c r="Y15" i="23"/>
  <c r="BB3" i="23"/>
  <c r="AN16" i="23"/>
  <c r="AE3" i="23"/>
  <c r="I44" i="21"/>
  <c r="BD10" i="23"/>
  <c r="Q16" i="23"/>
  <c r="BB2" i="23"/>
  <c r="AM16" i="23"/>
  <c r="AD3" i="23"/>
  <c r="G44" i="21"/>
  <c r="R21" i="23"/>
  <c r="BA12" i="23"/>
  <c r="BN5" i="23"/>
  <c r="AY2" i="23"/>
  <c r="AN11" i="23"/>
  <c r="E115" i="21"/>
  <c r="N41" i="21"/>
  <c r="AA202" i="22"/>
  <c r="AR19" i="23"/>
  <c r="BA9" i="23"/>
  <c r="BN3" i="23"/>
  <c r="AV14" i="23"/>
  <c r="AL11" i="23"/>
  <c r="E113" i="21"/>
  <c r="E32" i="21"/>
  <c r="AS18" i="23"/>
  <c r="BA8" i="23"/>
  <c r="BN2" i="23"/>
  <c r="AV13" i="23"/>
  <c r="AN10" i="23"/>
  <c r="E111" i="21"/>
  <c r="K31" i="21"/>
  <c r="R19" i="23"/>
  <c r="BA7" i="23"/>
  <c r="BK15" i="23"/>
  <c r="AV12" i="23"/>
  <c r="AM10" i="23"/>
  <c r="E110" i="21"/>
  <c r="K30" i="21"/>
  <c r="BM7" i="23"/>
  <c r="AX8" i="23"/>
  <c r="BH15" i="23"/>
  <c r="AS12" i="23"/>
  <c r="AJ7" i="23"/>
  <c r="F31" i="21"/>
  <c r="BM5" i="23"/>
  <c r="AX6" i="23"/>
  <c r="BH13" i="23"/>
  <c r="AS10" i="23"/>
  <c r="AH7" i="23"/>
  <c r="K76" i="21"/>
  <c r="BM4" i="23"/>
  <c r="AX5" i="23"/>
  <c r="BH12" i="23"/>
  <c r="AS8" i="23"/>
  <c r="AJ6" i="23"/>
  <c r="D71" i="21"/>
  <c r="P115" i="23"/>
  <c r="BJ3" i="23"/>
  <c r="AU5" i="23"/>
  <c r="BE11" i="23"/>
  <c r="AC17" i="23"/>
  <c r="AJ4" i="23"/>
  <c r="F69" i="21"/>
  <c r="BM2" i="23"/>
  <c r="AH6" i="23"/>
  <c r="I68" i="22"/>
  <c r="C59" i="22"/>
  <c r="C41" i="22"/>
  <c r="S37" i="22"/>
  <c r="BG16" i="23"/>
  <c r="AE7" i="23"/>
  <c r="I67" i="22"/>
  <c r="C58" i="22"/>
  <c r="C47" i="22"/>
  <c r="U40" i="22"/>
  <c r="R37" i="22"/>
  <c r="C49" i="22"/>
  <c r="AD16" i="23"/>
  <c r="I61" i="22"/>
  <c r="Q53" i="23"/>
  <c r="BG15" i="23"/>
  <c r="AD7" i="23"/>
  <c r="C67" i="22"/>
  <c r="C57" i="22"/>
  <c r="U46" i="22"/>
  <c r="T40" i="22"/>
  <c r="C37" i="22"/>
  <c r="T38" i="22"/>
  <c r="C43" i="22"/>
  <c r="BG14" i="23"/>
  <c r="AC7" i="23"/>
  <c r="I66" i="22"/>
  <c r="C56" i="22"/>
  <c r="U36" i="22"/>
  <c r="R38" i="22"/>
  <c r="AX4" i="23"/>
  <c r="C66" i="22"/>
  <c r="C55" i="22"/>
  <c r="C46" i="22"/>
  <c r="R40" i="22"/>
  <c r="T36" i="22"/>
  <c r="AU3" i="23"/>
  <c r="F70" i="21"/>
  <c r="I65" i="22"/>
  <c r="C54" i="22"/>
  <c r="U45" i="22"/>
  <c r="C40" i="22"/>
  <c r="S36" i="22"/>
  <c r="P112" i="23"/>
  <c r="AR16" i="23"/>
  <c r="K56" i="21"/>
  <c r="C73" i="22"/>
  <c r="C65" i="22"/>
  <c r="C53" i="22"/>
  <c r="U39" i="22"/>
  <c r="R36" i="22"/>
  <c r="AR15" i="23"/>
  <c r="G56" i="21"/>
  <c r="I72" i="22"/>
  <c r="I64" i="22"/>
  <c r="C52" i="22"/>
  <c r="C45" i="22"/>
  <c r="T39" i="22"/>
  <c r="C36" i="22"/>
  <c r="BH11" i="23"/>
  <c r="G55" i="21"/>
  <c r="C72" i="22"/>
  <c r="C64" i="22"/>
  <c r="I51" i="22"/>
  <c r="U44" i="22"/>
  <c r="S39" i="22"/>
  <c r="U35" i="22"/>
  <c r="I69" i="22"/>
  <c r="BE9" i="23"/>
  <c r="I71" i="22"/>
  <c r="I63" i="22"/>
  <c r="C51" i="22"/>
  <c r="R39" i="22"/>
  <c r="T35" i="22"/>
  <c r="BE8" i="23"/>
  <c r="C71" i="22"/>
  <c r="C63" i="22"/>
  <c r="C50" i="22"/>
  <c r="C44" i="22"/>
  <c r="U38" i="22"/>
  <c r="S35" i="22"/>
  <c r="BE6" i="23"/>
  <c r="I70" i="22"/>
  <c r="I62" i="22"/>
  <c r="U43" i="22"/>
  <c r="R35" i="22"/>
  <c r="AC16" i="23"/>
  <c r="P113" i="23"/>
  <c r="AS7" i="23"/>
  <c r="C70" i="22"/>
  <c r="C62" i="22"/>
  <c r="U48" i="22"/>
  <c r="S38" i="22"/>
  <c r="U37" i="22"/>
  <c r="T37" i="22"/>
  <c r="C69" i="22"/>
  <c r="I60" i="22"/>
  <c r="C60" i="22"/>
  <c r="C48" i="22"/>
  <c r="U47" i="22"/>
  <c r="U42" i="22"/>
  <c r="AF15" i="23"/>
  <c r="AD62" i="21"/>
  <c r="AD66" i="21" s="1"/>
  <c r="AD70" i="21" s="1"/>
  <c r="AB16" i="21"/>
  <c r="AA79" i="21"/>
  <c r="E33" i="2"/>
  <c r="E34" i="2"/>
  <c r="E35" i="2"/>
  <c r="E32" i="2"/>
  <c r="E27" i="2"/>
  <c r="E26" i="2"/>
  <c r="E28" i="2"/>
  <c r="E29" i="2"/>
  <c r="E30" i="2"/>
  <c r="E22" i="2"/>
  <c r="E23" i="2"/>
  <c r="E31" i="2"/>
  <c r="E25" i="2"/>
  <c r="E24" i="2"/>
  <c r="G16" i="14"/>
  <c r="G16" i="16"/>
  <c r="I25" i="17" s="1"/>
  <c r="E58" i="16" s="1"/>
  <c r="C6" i="12"/>
  <c r="E32" i="12" s="1"/>
  <c r="C2" i="12"/>
  <c r="C14" i="12"/>
  <c r="C15" i="12"/>
  <c r="C16" i="12"/>
  <c r="O62" i="19"/>
  <c r="N62" i="19"/>
  <c r="P62" i="19"/>
  <c r="M62" i="19"/>
  <c r="L62" i="19"/>
  <c r="N70" i="19"/>
  <c r="P70" i="19"/>
  <c r="O70" i="19"/>
  <c r="M70" i="19"/>
  <c r="L70" i="19"/>
  <c r="P78" i="19"/>
  <c r="N78" i="19"/>
  <c r="M78" i="19"/>
  <c r="L78" i="19"/>
  <c r="O78" i="19"/>
  <c r="L65" i="19"/>
  <c r="M65" i="19"/>
  <c r="P65" i="19"/>
  <c r="O65" i="19"/>
  <c r="N65" i="19"/>
  <c r="L73" i="19"/>
  <c r="O73" i="19"/>
  <c r="M73" i="19"/>
  <c r="P73" i="19"/>
  <c r="N73" i="19"/>
  <c r="P76" i="19"/>
  <c r="O76" i="19"/>
  <c r="N76" i="19"/>
  <c r="M76" i="19"/>
  <c r="L76" i="19"/>
  <c r="P63" i="19"/>
  <c r="O63" i="19"/>
  <c r="N63" i="19"/>
  <c r="M63" i="19"/>
  <c r="L63" i="19"/>
  <c r="P71" i="19"/>
  <c r="O71" i="19"/>
  <c r="N71" i="19"/>
  <c r="M71" i="19"/>
  <c r="L71" i="19"/>
  <c r="P79" i="19"/>
  <c r="O79" i="19"/>
  <c r="N79" i="19"/>
  <c r="M79" i="19"/>
  <c r="L79" i="19"/>
  <c r="P66" i="19"/>
  <c r="O66" i="19"/>
  <c r="N66" i="19"/>
  <c r="M66" i="19"/>
  <c r="L66" i="19"/>
  <c r="P74" i="19"/>
  <c r="O74" i="19"/>
  <c r="N74" i="19"/>
  <c r="M74" i="19"/>
  <c r="L74" i="19"/>
  <c r="P68" i="19"/>
  <c r="O68" i="19"/>
  <c r="N68" i="19"/>
  <c r="M68" i="19"/>
  <c r="L68" i="19"/>
  <c r="O61" i="19"/>
  <c r="N61" i="19"/>
  <c r="M61" i="19"/>
  <c r="L61" i="19"/>
  <c r="P61" i="19"/>
  <c r="O69" i="19"/>
  <c r="N69" i="19"/>
  <c r="M69" i="19"/>
  <c r="L69" i="19"/>
  <c r="P69" i="19"/>
  <c r="O77" i="19"/>
  <c r="N77" i="19"/>
  <c r="M77" i="19"/>
  <c r="L77" i="19"/>
  <c r="P77" i="19"/>
  <c r="M64" i="19"/>
  <c r="L64" i="19"/>
  <c r="P64" i="19"/>
  <c r="O64" i="19"/>
  <c r="N64" i="19"/>
  <c r="M72" i="19"/>
  <c r="L72" i="19"/>
  <c r="P72" i="19"/>
  <c r="O72" i="19"/>
  <c r="N72" i="19"/>
  <c r="M80" i="19"/>
  <c r="L80" i="19"/>
  <c r="P80" i="19"/>
  <c r="O80" i="19"/>
  <c r="N80" i="19"/>
  <c r="P67" i="19"/>
  <c r="O67" i="19"/>
  <c r="N67" i="19"/>
  <c r="M67" i="19"/>
  <c r="L67" i="19"/>
  <c r="P75" i="19"/>
  <c r="O75" i="19"/>
  <c r="N75" i="19"/>
  <c r="M75" i="19"/>
  <c r="L75" i="19"/>
  <c r="N20" i="19"/>
  <c r="M20" i="19"/>
  <c r="K20" i="19"/>
  <c r="J20" i="19"/>
  <c r="L20" i="19"/>
  <c r="M16" i="19"/>
  <c r="N16" i="19"/>
  <c r="L16" i="19"/>
  <c r="K16" i="19"/>
  <c r="J16" i="19"/>
  <c r="P197" i="19"/>
  <c r="P194" i="19"/>
  <c r="P188" i="19"/>
  <c r="I17" i="19"/>
  <c r="I13" i="19"/>
  <c r="P193" i="19"/>
  <c r="P199" i="19"/>
  <c r="P198" i="19"/>
  <c r="I14" i="19"/>
  <c r="I11" i="19"/>
  <c r="I19" i="19"/>
  <c r="P200" i="19"/>
  <c r="I15" i="19"/>
  <c r="P191" i="19"/>
  <c r="P196" i="19"/>
  <c r="I18" i="19"/>
  <c r="I12" i="19"/>
  <c r="P190" i="19"/>
  <c r="P192" i="19"/>
  <c r="P189" i="19"/>
  <c r="P195" i="19"/>
  <c r="P187" i="19"/>
  <c r="I41" i="20" l="1"/>
  <c r="J18" i="19"/>
  <c r="K18" i="19"/>
  <c r="N18" i="19"/>
  <c r="M18" i="19"/>
  <c r="L18" i="19"/>
  <c r="K11" i="19"/>
  <c r="N11" i="19"/>
  <c r="J11" i="19"/>
  <c r="C13" i="12" s="1"/>
  <c r="C18" i="12" s="1"/>
  <c r="L11" i="19"/>
  <c r="L11" i="12"/>
  <c r="D22" i="12" s="1"/>
  <c r="C23" i="12" s="1"/>
  <c r="I34" i="20"/>
  <c r="M11" i="19"/>
  <c r="M19" i="19"/>
  <c r="L19" i="19"/>
  <c r="J19" i="19"/>
  <c r="K19" i="19"/>
  <c r="I42" i="20"/>
  <c r="N19" i="19"/>
  <c r="I38" i="20"/>
  <c r="L15" i="19"/>
  <c r="N15" i="19"/>
  <c r="K15" i="19"/>
  <c r="J15" i="19"/>
  <c r="M15" i="19"/>
  <c r="N12" i="19"/>
  <c r="M12" i="19"/>
  <c r="K12" i="19"/>
  <c r="L12" i="19"/>
  <c r="J12" i="19"/>
  <c r="I35" i="20"/>
  <c r="C18" i="24"/>
  <c r="A73" i="24"/>
  <c r="D65" i="24"/>
  <c r="F71" i="24" s="1"/>
  <c r="F70" i="24"/>
  <c r="F69" i="24"/>
  <c r="F68" i="24"/>
  <c r="F72" i="24"/>
  <c r="F67" i="24"/>
  <c r="F66" i="24"/>
  <c r="F64" i="24"/>
  <c r="F63" i="24"/>
  <c r="F62" i="24"/>
  <c r="C23" i="24"/>
  <c r="E24" i="24"/>
  <c r="C22" i="24"/>
  <c r="C40" i="24"/>
  <c r="L29" i="2"/>
  <c r="N194" i="19"/>
  <c r="N22" i="20" s="1"/>
  <c r="P22" i="20"/>
  <c r="N195" i="19"/>
  <c r="J30" i="2" s="1"/>
  <c r="L30" i="2"/>
  <c r="P23" i="20"/>
  <c r="P20" i="20"/>
  <c r="L27" i="2"/>
  <c r="N192" i="19"/>
  <c r="J27" i="2" s="1"/>
  <c r="P15" i="20"/>
  <c r="N187" i="19"/>
  <c r="J22" i="2" s="1"/>
  <c r="L22" i="2"/>
  <c r="P25" i="20"/>
  <c r="L32" i="2"/>
  <c r="N197" i="19"/>
  <c r="N25" i="20" s="1"/>
  <c r="M17" i="19"/>
  <c r="K17" i="19"/>
  <c r="J17" i="19"/>
  <c r="L17" i="19"/>
  <c r="I40" i="20"/>
  <c r="N17" i="19"/>
  <c r="P26" i="20"/>
  <c r="N198" i="19"/>
  <c r="J33" i="2" s="1"/>
  <c r="L33" i="2"/>
  <c r="L31" i="2"/>
  <c r="N196" i="19"/>
  <c r="N24" i="20" s="1"/>
  <c r="P24" i="20"/>
  <c r="L35" i="2"/>
  <c r="P28" i="20"/>
  <c r="N200" i="19"/>
  <c r="N28" i="20" s="1"/>
  <c r="L34" i="2"/>
  <c r="P27" i="20"/>
  <c r="N199" i="19"/>
  <c r="J34" i="2" s="1"/>
  <c r="P21" i="20"/>
  <c r="N193" i="19"/>
  <c r="J28" i="2" s="1"/>
  <c r="L28" i="2"/>
  <c r="AB24" i="21"/>
  <c r="AB26" i="21"/>
  <c r="AB22" i="21"/>
  <c r="X58" i="21" s="1"/>
  <c r="P16" i="20"/>
  <c r="I36" i="20"/>
  <c r="I37" i="20"/>
  <c r="P18" i="20"/>
  <c r="P17" i="20"/>
  <c r="P19" i="20"/>
  <c r="AE24" i="21"/>
  <c r="AE26" i="21"/>
  <c r="AA54" i="21"/>
  <c r="T35" i="21"/>
  <c r="T35" i="23" s="1"/>
  <c r="AA56" i="21"/>
  <c r="AA60" i="21"/>
  <c r="G86" i="21"/>
  <c r="C95" i="22"/>
  <c r="B95" i="22"/>
  <c r="D95" i="22" s="1"/>
  <c r="E95" i="22" s="1"/>
  <c r="F95" i="22" s="1"/>
  <c r="G95" i="22" s="1"/>
  <c r="H95" i="22" s="1"/>
  <c r="L23" i="2"/>
  <c r="N188" i="19"/>
  <c r="L26" i="2"/>
  <c r="N191" i="19"/>
  <c r="L25" i="2"/>
  <c r="N190" i="19"/>
  <c r="L24" i="2"/>
  <c r="N189" i="19"/>
  <c r="L14" i="19"/>
  <c r="K14" i="19"/>
  <c r="N14" i="19"/>
  <c r="M14" i="19"/>
  <c r="J14" i="19"/>
  <c r="K13" i="19"/>
  <c r="L13" i="19"/>
  <c r="N13" i="19"/>
  <c r="M13" i="19"/>
  <c r="J13" i="19"/>
  <c r="B83" i="3"/>
  <c r="B82" i="3"/>
  <c r="B81" i="3"/>
  <c r="B80" i="3"/>
  <c r="F79" i="3"/>
  <c r="I25" i="15"/>
  <c r="E58" i="14" s="1"/>
  <c r="R38" i="18"/>
  <c r="R38" i="14"/>
  <c r="AE20" i="16"/>
  <c r="AE18" i="16"/>
  <c r="AE16" i="16"/>
  <c r="AE14" i="16"/>
  <c r="AE12" i="16"/>
  <c r="AE10" i="16"/>
  <c r="AE8" i="16"/>
  <c r="AB20" i="16"/>
  <c r="AB18" i="16"/>
  <c r="AB16" i="16"/>
  <c r="AB14" i="16"/>
  <c r="AB12" i="16"/>
  <c r="AB10" i="16"/>
  <c r="AB8" i="16"/>
  <c r="BB25" i="17"/>
  <c r="BB24" i="17"/>
  <c r="BB23" i="17"/>
  <c r="BB22" i="17"/>
  <c r="BB21" i="17"/>
  <c r="BB20" i="17"/>
  <c r="BB19" i="17"/>
  <c r="BB18" i="17"/>
  <c r="BB17" i="17"/>
  <c r="BB16" i="17"/>
  <c r="BB15" i="17"/>
  <c r="BB14" i="17"/>
  <c r="BB13" i="17"/>
  <c r="BB12" i="17"/>
  <c r="BB11" i="17"/>
  <c r="BB10" i="17"/>
  <c r="BB9" i="17"/>
  <c r="BB8" i="17"/>
  <c r="BB7" i="17"/>
  <c r="BB6" i="17"/>
  <c r="T13" i="16"/>
  <c r="G85" i="16" s="1"/>
  <c r="G17" i="16"/>
  <c r="C10" i="17" s="1"/>
  <c r="G15" i="16"/>
  <c r="G14" i="16"/>
  <c r="G12" i="16"/>
  <c r="C7" i="17" s="1"/>
  <c r="C4" i="17"/>
  <c r="BB25" i="15"/>
  <c r="BB24" i="15"/>
  <c r="BB23" i="15"/>
  <c r="BB22" i="15"/>
  <c r="BB21" i="15"/>
  <c r="BB20" i="15"/>
  <c r="BB19" i="15"/>
  <c r="BB18" i="15"/>
  <c r="BB17" i="15"/>
  <c r="BB16" i="15"/>
  <c r="BB15" i="15"/>
  <c r="BB14" i="15"/>
  <c r="BB13" i="15"/>
  <c r="BB12" i="15"/>
  <c r="BB11" i="15"/>
  <c r="BB10" i="15"/>
  <c r="BB9" i="15"/>
  <c r="BB8" i="15"/>
  <c r="BB7" i="15"/>
  <c r="BB6" i="15"/>
  <c r="T13" i="14"/>
  <c r="G85" i="14" s="1"/>
  <c r="G17" i="14"/>
  <c r="C10" i="15" s="1"/>
  <c r="G15" i="14"/>
  <c r="C9" i="15" s="1"/>
  <c r="G14" i="14"/>
  <c r="G12" i="14"/>
  <c r="C4" i="15"/>
  <c r="C11" i="12"/>
  <c r="I53" i="12"/>
  <c r="C55" i="12"/>
  <c r="C6" i="17"/>
  <c r="C6" i="15"/>
  <c r="C39" i="12"/>
  <c r="G85" i="17"/>
  <c r="A341" i="17"/>
  <c r="AB204" i="17"/>
  <c r="AA204" i="17"/>
  <c r="AA203" i="17"/>
  <c r="AB201" i="17"/>
  <c r="AB200" i="17"/>
  <c r="AA200" i="17"/>
  <c r="T42" i="17"/>
  <c r="U32" i="17"/>
  <c r="S32" i="17"/>
  <c r="U31" i="17"/>
  <c r="S31" i="17"/>
  <c r="U30" i="17"/>
  <c r="S30" i="17"/>
  <c r="U29" i="17"/>
  <c r="S29" i="17"/>
  <c r="U28" i="17"/>
  <c r="S28" i="17"/>
  <c r="G85" i="15"/>
  <c r="A341" i="15"/>
  <c r="AB204" i="15"/>
  <c r="AA204" i="15"/>
  <c r="AA203" i="15"/>
  <c r="AB201" i="15"/>
  <c r="AB200" i="15"/>
  <c r="AA200" i="15"/>
  <c r="T42" i="15"/>
  <c r="B18" i="13"/>
  <c r="E18" i="13" s="1"/>
  <c r="E12" i="13"/>
  <c r="E20" i="13" s="1"/>
  <c r="E10" i="13"/>
  <c r="E9" i="13"/>
  <c r="E8" i="13"/>
  <c r="E7" i="13"/>
  <c r="I35" i="12"/>
  <c r="F61" i="12"/>
  <c r="G57" i="12"/>
  <c r="F57" i="12"/>
  <c r="G50" i="12"/>
  <c r="F50" i="12"/>
  <c r="C50" i="8"/>
  <c r="C49" i="8"/>
  <c r="C48" i="8"/>
  <c r="C47" i="8"/>
  <c r="P60" i="11"/>
  <c r="AA25" i="5"/>
  <c r="AA24" i="5"/>
  <c r="AA23" i="5"/>
  <c r="AA22" i="5"/>
  <c r="AA21" i="5"/>
  <c r="AA20" i="5"/>
  <c r="AA19" i="5"/>
  <c r="AA18" i="5"/>
  <c r="AA17" i="5"/>
  <c r="AA16" i="5"/>
  <c r="AA15" i="5"/>
  <c r="AA14" i="5"/>
  <c r="AA13" i="5"/>
  <c r="AA12" i="5"/>
  <c r="AA11" i="5"/>
  <c r="AA10" i="5"/>
  <c r="AA9" i="5"/>
  <c r="AA8" i="5"/>
  <c r="AA7" i="5"/>
  <c r="G85" i="8"/>
  <c r="C21" i="8"/>
  <c r="C15" i="8"/>
  <c r="C16" i="8" s="1"/>
  <c r="C14" i="8"/>
  <c r="C4" i="8"/>
  <c r="E69" i="8" s="1"/>
  <c r="S65" i="11"/>
  <c r="Q59" i="11"/>
  <c r="Q58" i="11"/>
  <c r="Q57" i="11"/>
  <c r="Q56" i="11"/>
  <c r="Q55" i="11"/>
  <c r="Q54" i="11"/>
  <c r="Q53" i="11"/>
  <c r="Q52" i="11"/>
  <c r="Q51" i="11"/>
  <c r="G25" i="11"/>
  <c r="Q19" i="11"/>
  <c r="Q18" i="11"/>
  <c r="Q17" i="11"/>
  <c r="Q16" i="11"/>
  <c r="Q15" i="11"/>
  <c r="Q14" i="11"/>
  <c r="Q13" i="11"/>
  <c r="AH7" i="11"/>
  <c r="AC7" i="11"/>
  <c r="AH6" i="11"/>
  <c r="AC6" i="11"/>
  <c r="AH5" i="11"/>
  <c r="AC5" i="11"/>
  <c r="AH4" i="11"/>
  <c r="AC4" i="11"/>
  <c r="A341" i="8"/>
  <c r="AB204" i="8"/>
  <c r="AA204" i="8"/>
  <c r="AA203" i="8"/>
  <c r="AB201" i="8"/>
  <c r="AB200" i="8"/>
  <c r="AA200" i="8"/>
  <c r="C17" i="10"/>
  <c r="C7" i="10"/>
  <c r="C25" i="10"/>
  <c r="C24" i="10"/>
  <c r="C23" i="10"/>
  <c r="C22" i="10"/>
  <c r="C21" i="10"/>
  <c r="C20" i="10"/>
  <c r="C13" i="10"/>
  <c r="L48" i="5"/>
  <c r="L47" i="5"/>
  <c r="L46" i="5"/>
  <c r="L45" i="5"/>
  <c r="L44" i="5"/>
  <c r="L43" i="5"/>
  <c r="L42" i="5"/>
  <c r="L41" i="5"/>
  <c r="L40" i="5"/>
  <c r="L39" i="5"/>
  <c r="L38" i="5"/>
  <c r="L37" i="5"/>
  <c r="L36" i="5"/>
  <c r="L35" i="5"/>
  <c r="L34" i="5"/>
  <c r="L33" i="5"/>
  <c r="L32" i="5"/>
  <c r="L31" i="5"/>
  <c r="L30" i="5"/>
  <c r="T42" i="8"/>
  <c r="AJ46" i="5"/>
  <c r="AJ45" i="5"/>
  <c r="AJ44" i="5"/>
  <c r="AJ43" i="5"/>
  <c r="AJ42" i="5"/>
  <c r="AJ41" i="5"/>
  <c r="AJ40" i="5"/>
  <c r="AJ39" i="5"/>
  <c r="AJ38" i="5"/>
  <c r="AJ37" i="5"/>
  <c r="AJ36" i="5"/>
  <c r="AJ35" i="5"/>
  <c r="AJ34" i="5"/>
  <c r="AJ33" i="5"/>
  <c r="AJ32" i="5"/>
  <c r="AJ31" i="5"/>
  <c r="AJ30" i="5"/>
  <c r="AJ29" i="5"/>
  <c r="AJ28" i="5"/>
  <c r="AJ27" i="5"/>
  <c r="H48" i="5"/>
  <c r="I48" i="5"/>
  <c r="B48" i="5"/>
  <c r="H47" i="5"/>
  <c r="I47" i="5"/>
  <c r="B47" i="5"/>
  <c r="H46" i="5"/>
  <c r="I46" i="5"/>
  <c r="B46" i="5"/>
  <c r="H45" i="5"/>
  <c r="I45" i="5"/>
  <c r="B45" i="5"/>
  <c r="H44" i="5"/>
  <c r="I44" i="5"/>
  <c r="B44" i="5"/>
  <c r="H43" i="5"/>
  <c r="I43" i="5"/>
  <c r="B43" i="5"/>
  <c r="H42" i="5"/>
  <c r="I42" i="5"/>
  <c r="B42" i="5"/>
  <c r="H41" i="5"/>
  <c r="I41" i="5"/>
  <c r="B41" i="5"/>
  <c r="H40" i="5"/>
  <c r="I40" i="5"/>
  <c r="B40" i="5"/>
  <c r="H39" i="5"/>
  <c r="I39" i="5"/>
  <c r="B39" i="5"/>
  <c r="H38" i="5"/>
  <c r="I38" i="5"/>
  <c r="B38" i="5"/>
  <c r="H37" i="5"/>
  <c r="I37" i="5"/>
  <c r="B37" i="5"/>
  <c r="H36" i="5"/>
  <c r="I36" i="5"/>
  <c r="B36" i="5"/>
  <c r="H35" i="5"/>
  <c r="I35" i="5"/>
  <c r="B35" i="5"/>
  <c r="H34" i="5"/>
  <c r="I34" i="5"/>
  <c r="B34" i="5"/>
  <c r="H33" i="5"/>
  <c r="I33" i="5"/>
  <c r="B33" i="5"/>
  <c r="H32" i="5"/>
  <c r="I32" i="5"/>
  <c r="B32" i="5"/>
  <c r="H31" i="5"/>
  <c r="I31" i="5"/>
  <c r="B31" i="5"/>
  <c r="H30" i="5"/>
  <c r="I30" i="5"/>
  <c r="B30" i="5"/>
  <c r="H29" i="5"/>
  <c r="I29" i="5"/>
  <c r="B29" i="5"/>
  <c r="I204" i="7"/>
  <c r="H204" i="7"/>
  <c r="C204" i="7"/>
  <c r="K204" i="7"/>
  <c r="J204" i="7" s="1"/>
  <c r="I203" i="7"/>
  <c r="H203" i="7"/>
  <c r="C203" i="7"/>
  <c r="K203" i="7"/>
  <c r="J203" i="7" s="1"/>
  <c r="I202" i="7"/>
  <c r="H202" i="7"/>
  <c r="C202" i="7"/>
  <c r="K202" i="7"/>
  <c r="J202" i="7" s="1"/>
  <c r="I201" i="7"/>
  <c r="H201" i="7"/>
  <c r="C201" i="7"/>
  <c r="K201" i="7"/>
  <c r="J201" i="7" s="1"/>
  <c r="I200" i="7"/>
  <c r="H200" i="7"/>
  <c r="C200" i="7"/>
  <c r="K200" i="7"/>
  <c r="J200" i="7" s="1"/>
  <c r="I199" i="7"/>
  <c r="H199" i="7"/>
  <c r="C199" i="7"/>
  <c r="K199" i="7"/>
  <c r="J199" i="7" s="1"/>
  <c r="I198" i="7"/>
  <c r="H198" i="7"/>
  <c r="C198" i="7"/>
  <c r="K198" i="7"/>
  <c r="J198" i="7" s="1"/>
  <c r="I197" i="7"/>
  <c r="H197" i="7"/>
  <c r="C197" i="7"/>
  <c r="K197" i="7"/>
  <c r="J197" i="7" s="1"/>
  <c r="I196" i="7"/>
  <c r="H196" i="7"/>
  <c r="C196" i="7"/>
  <c r="K196" i="7"/>
  <c r="J196" i="7" s="1"/>
  <c r="I195" i="7"/>
  <c r="H195" i="7"/>
  <c r="C195" i="7"/>
  <c r="K195" i="7"/>
  <c r="J195" i="7" s="1"/>
  <c r="I194" i="7"/>
  <c r="H194" i="7"/>
  <c r="C194" i="7"/>
  <c r="K194" i="7"/>
  <c r="J194" i="7" s="1"/>
  <c r="I193" i="7"/>
  <c r="H193" i="7"/>
  <c r="C193" i="7"/>
  <c r="K193" i="7"/>
  <c r="J193" i="7" s="1"/>
  <c r="I192" i="7"/>
  <c r="H192" i="7"/>
  <c r="C192" i="7"/>
  <c r="K192" i="7"/>
  <c r="J192" i="7" s="1"/>
  <c r="I191" i="7"/>
  <c r="H191" i="7"/>
  <c r="C191" i="7"/>
  <c r="K191" i="7"/>
  <c r="J191" i="7" s="1"/>
  <c r="I190" i="7"/>
  <c r="H190" i="7"/>
  <c r="C190" i="7"/>
  <c r="K190" i="7"/>
  <c r="J190" i="7" s="1"/>
  <c r="I189" i="7"/>
  <c r="H189" i="7"/>
  <c r="C189" i="7"/>
  <c r="K189" i="7"/>
  <c r="J189" i="7" s="1"/>
  <c r="I188" i="7"/>
  <c r="H188" i="7"/>
  <c r="C188" i="7"/>
  <c r="K188" i="7"/>
  <c r="J188" i="7" s="1"/>
  <c r="I187" i="7"/>
  <c r="H187" i="7"/>
  <c r="C187" i="7"/>
  <c r="K187" i="7"/>
  <c r="J187" i="7" s="1"/>
  <c r="I186" i="7"/>
  <c r="H186" i="7"/>
  <c r="C186" i="7"/>
  <c r="K186" i="7"/>
  <c r="J186" i="7" s="1"/>
  <c r="I185" i="7"/>
  <c r="H185" i="7"/>
  <c r="C185" i="7"/>
  <c r="K185" i="7"/>
  <c r="J185" i="7" s="1"/>
  <c r="I184" i="7"/>
  <c r="H184" i="7"/>
  <c r="C184" i="7"/>
  <c r="K184" i="7"/>
  <c r="J184" i="7" s="1"/>
  <c r="I183" i="7"/>
  <c r="H183" i="7"/>
  <c r="C183" i="7"/>
  <c r="K183" i="7"/>
  <c r="J183" i="7" s="1"/>
  <c r="I182" i="7"/>
  <c r="H182" i="7"/>
  <c r="C182" i="7"/>
  <c r="K182" i="7"/>
  <c r="J182" i="7" s="1"/>
  <c r="I181" i="7"/>
  <c r="H181" i="7"/>
  <c r="C181" i="7"/>
  <c r="K181" i="7"/>
  <c r="J181" i="7" s="1"/>
  <c r="I180" i="7"/>
  <c r="H180" i="7"/>
  <c r="C180" i="7"/>
  <c r="K180" i="7"/>
  <c r="J180" i="7" s="1"/>
  <c r="I179" i="7"/>
  <c r="H179" i="7"/>
  <c r="C179" i="7"/>
  <c r="K179" i="7"/>
  <c r="J179" i="7" s="1"/>
  <c r="I178" i="7"/>
  <c r="H178" i="7"/>
  <c r="C178" i="7"/>
  <c r="K178" i="7"/>
  <c r="J178" i="7" s="1"/>
  <c r="I177" i="7"/>
  <c r="H177" i="7"/>
  <c r="C177" i="7"/>
  <c r="K177" i="7"/>
  <c r="J177" i="7" s="1"/>
  <c r="I176" i="7"/>
  <c r="H176" i="7"/>
  <c r="C176" i="7"/>
  <c r="K176" i="7"/>
  <c r="J176" i="7" s="1"/>
  <c r="I175" i="7"/>
  <c r="H175" i="7"/>
  <c r="C175" i="7"/>
  <c r="K175" i="7"/>
  <c r="J175" i="7" s="1"/>
  <c r="I174" i="7"/>
  <c r="H174" i="7"/>
  <c r="C174" i="7"/>
  <c r="K174" i="7"/>
  <c r="J174" i="7" s="1"/>
  <c r="I173" i="7"/>
  <c r="H173" i="7"/>
  <c r="C173" i="7"/>
  <c r="K173" i="7"/>
  <c r="J173" i="7" s="1"/>
  <c r="I172" i="7"/>
  <c r="H172" i="7"/>
  <c r="C172" i="7"/>
  <c r="K172" i="7"/>
  <c r="J172" i="7" s="1"/>
  <c r="I171" i="7"/>
  <c r="H171" i="7"/>
  <c r="C171" i="7"/>
  <c r="K171" i="7"/>
  <c r="J171" i="7" s="1"/>
  <c r="I170" i="7"/>
  <c r="H170" i="7"/>
  <c r="C170" i="7"/>
  <c r="K170" i="7"/>
  <c r="J170" i="7" s="1"/>
  <c r="I169" i="7"/>
  <c r="H169" i="7"/>
  <c r="C169" i="7"/>
  <c r="K169" i="7"/>
  <c r="J169" i="7" s="1"/>
  <c r="I168" i="7"/>
  <c r="H168" i="7"/>
  <c r="C168" i="7"/>
  <c r="K168" i="7"/>
  <c r="J168" i="7" s="1"/>
  <c r="I167" i="7"/>
  <c r="H167" i="7"/>
  <c r="C167" i="7"/>
  <c r="K167" i="7"/>
  <c r="J167" i="7" s="1"/>
  <c r="I166" i="7"/>
  <c r="H166" i="7"/>
  <c r="C166" i="7"/>
  <c r="K166" i="7"/>
  <c r="J166" i="7" s="1"/>
  <c r="I165" i="7"/>
  <c r="H165" i="7"/>
  <c r="C165" i="7"/>
  <c r="K165" i="7"/>
  <c r="J165" i="7" s="1"/>
  <c r="I164" i="7"/>
  <c r="H164" i="7"/>
  <c r="C164" i="7"/>
  <c r="K164" i="7"/>
  <c r="J164" i="7" s="1"/>
  <c r="I163" i="7"/>
  <c r="H163" i="7"/>
  <c r="C163" i="7"/>
  <c r="K163" i="7"/>
  <c r="J163" i="7" s="1"/>
  <c r="I162" i="7"/>
  <c r="H162" i="7"/>
  <c r="C162" i="7"/>
  <c r="K162" i="7"/>
  <c r="J162" i="7" s="1"/>
  <c r="I161" i="7"/>
  <c r="H161" i="7"/>
  <c r="C161" i="7"/>
  <c r="K161" i="7"/>
  <c r="J161" i="7" s="1"/>
  <c r="I160" i="7"/>
  <c r="H160" i="7"/>
  <c r="C160" i="7"/>
  <c r="K160" i="7"/>
  <c r="J160" i="7" s="1"/>
  <c r="I159" i="7"/>
  <c r="H159" i="7"/>
  <c r="C159" i="7"/>
  <c r="K159" i="7"/>
  <c r="J159" i="7" s="1"/>
  <c r="I158" i="7"/>
  <c r="H158" i="7"/>
  <c r="C158" i="7"/>
  <c r="K158" i="7"/>
  <c r="J158" i="7" s="1"/>
  <c r="I157" i="7"/>
  <c r="H157" i="7"/>
  <c r="C157" i="7"/>
  <c r="K157" i="7"/>
  <c r="J157" i="7" s="1"/>
  <c r="I156" i="7"/>
  <c r="H156" i="7"/>
  <c r="C156" i="7"/>
  <c r="K156" i="7"/>
  <c r="J156" i="7" s="1"/>
  <c r="I155" i="7"/>
  <c r="H155" i="7"/>
  <c r="C155" i="7"/>
  <c r="K155" i="7"/>
  <c r="J155" i="7" s="1"/>
  <c r="I154" i="7"/>
  <c r="H154" i="7"/>
  <c r="C154" i="7"/>
  <c r="K154" i="7"/>
  <c r="J154" i="7" s="1"/>
  <c r="I153" i="7"/>
  <c r="H153" i="7"/>
  <c r="C153" i="7"/>
  <c r="K153" i="7"/>
  <c r="J153" i="7" s="1"/>
  <c r="I152" i="7"/>
  <c r="H152" i="7"/>
  <c r="C152" i="7"/>
  <c r="K152" i="7"/>
  <c r="J152" i="7" s="1"/>
  <c r="I151" i="7"/>
  <c r="H151" i="7"/>
  <c r="C151" i="7"/>
  <c r="K151" i="7"/>
  <c r="J151" i="7" s="1"/>
  <c r="I150" i="7"/>
  <c r="H150" i="7"/>
  <c r="C150" i="7"/>
  <c r="K150" i="7"/>
  <c r="J150" i="7" s="1"/>
  <c r="I149" i="7"/>
  <c r="H149" i="7"/>
  <c r="C149" i="7"/>
  <c r="K149" i="7"/>
  <c r="J149" i="7" s="1"/>
  <c r="I148" i="7"/>
  <c r="H148" i="7"/>
  <c r="C148" i="7"/>
  <c r="K148" i="7"/>
  <c r="J148" i="7" s="1"/>
  <c r="I147" i="7"/>
  <c r="H147" i="7"/>
  <c r="C147" i="7"/>
  <c r="K147" i="7"/>
  <c r="J147" i="7" s="1"/>
  <c r="I146" i="7"/>
  <c r="H146" i="7"/>
  <c r="C146" i="7"/>
  <c r="K146" i="7"/>
  <c r="J146" i="7" s="1"/>
  <c r="I145" i="7"/>
  <c r="H145" i="7"/>
  <c r="C145" i="7"/>
  <c r="K145" i="7"/>
  <c r="J145" i="7" s="1"/>
  <c r="I144" i="7"/>
  <c r="H144" i="7"/>
  <c r="C144" i="7"/>
  <c r="K144" i="7"/>
  <c r="J144" i="7" s="1"/>
  <c r="I143" i="7"/>
  <c r="H143" i="7"/>
  <c r="C143" i="7"/>
  <c r="K143" i="7"/>
  <c r="J143" i="7" s="1"/>
  <c r="I142" i="7"/>
  <c r="H142" i="7"/>
  <c r="C142" i="7"/>
  <c r="K142" i="7"/>
  <c r="J142" i="7" s="1"/>
  <c r="I141" i="7"/>
  <c r="H141" i="7"/>
  <c r="C141" i="7"/>
  <c r="K141" i="7"/>
  <c r="J141" i="7" s="1"/>
  <c r="I140" i="7"/>
  <c r="H140" i="7"/>
  <c r="C140" i="7"/>
  <c r="K140" i="7"/>
  <c r="J140" i="7" s="1"/>
  <c r="I139" i="7"/>
  <c r="H139" i="7"/>
  <c r="C139" i="7"/>
  <c r="K139" i="7"/>
  <c r="J139" i="7" s="1"/>
  <c r="I138" i="7"/>
  <c r="H138" i="7"/>
  <c r="C138" i="7"/>
  <c r="K138" i="7"/>
  <c r="J138" i="7" s="1"/>
  <c r="I137" i="7"/>
  <c r="H137" i="7"/>
  <c r="C137" i="7"/>
  <c r="K137" i="7"/>
  <c r="J137" i="7" s="1"/>
  <c r="I136" i="7"/>
  <c r="H136" i="7"/>
  <c r="C136" i="7"/>
  <c r="K136" i="7"/>
  <c r="J136" i="7" s="1"/>
  <c r="I135" i="7"/>
  <c r="H135" i="7"/>
  <c r="C135" i="7"/>
  <c r="K135" i="7"/>
  <c r="J135" i="7" s="1"/>
  <c r="I134" i="7"/>
  <c r="H134" i="7"/>
  <c r="C134" i="7"/>
  <c r="K134" i="7"/>
  <c r="J134" i="7" s="1"/>
  <c r="I133" i="7"/>
  <c r="H133" i="7"/>
  <c r="C133" i="7"/>
  <c r="K133" i="7"/>
  <c r="J133" i="7" s="1"/>
  <c r="I132" i="7"/>
  <c r="H132" i="7"/>
  <c r="C132" i="7"/>
  <c r="K132" i="7"/>
  <c r="J132" i="7" s="1"/>
  <c r="I131" i="7"/>
  <c r="H131" i="7"/>
  <c r="C131" i="7"/>
  <c r="K131" i="7"/>
  <c r="J131" i="7" s="1"/>
  <c r="I130" i="7"/>
  <c r="H130" i="7"/>
  <c r="C130" i="7"/>
  <c r="K130" i="7"/>
  <c r="J130" i="7" s="1"/>
  <c r="I129" i="7"/>
  <c r="H129" i="7"/>
  <c r="C129" i="7"/>
  <c r="K129" i="7"/>
  <c r="J129" i="7" s="1"/>
  <c r="I128" i="7"/>
  <c r="H128" i="7"/>
  <c r="C128" i="7"/>
  <c r="K128" i="7"/>
  <c r="J128" i="7" s="1"/>
  <c r="I127" i="7"/>
  <c r="H127" i="7"/>
  <c r="C127" i="7"/>
  <c r="K127" i="7"/>
  <c r="J127" i="7" s="1"/>
  <c r="I126" i="7"/>
  <c r="H126" i="7"/>
  <c r="C126" i="7"/>
  <c r="K126" i="7"/>
  <c r="J126" i="7" s="1"/>
  <c r="I125" i="7"/>
  <c r="H125" i="7"/>
  <c r="C125" i="7"/>
  <c r="K125" i="7"/>
  <c r="J125" i="7" s="1"/>
  <c r="I124" i="7"/>
  <c r="H124" i="7"/>
  <c r="C124" i="7"/>
  <c r="K124" i="7"/>
  <c r="J124" i="7" s="1"/>
  <c r="I123" i="7"/>
  <c r="H123" i="7"/>
  <c r="C123" i="7"/>
  <c r="K123" i="7"/>
  <c r="J123" i="7" s="1"/>
  <c r="I122" i="7"/>
  <c r="H122" i="7"/>
  <c r="C122" i="7"/>
  <c r="K122" i="7"/>
  <c r="J122" i="7" s="1"/>
  <c r="I121" i="7"/>
  <c r="H121" i="7"/>
  <c r="C121" i="7"/>
  <c r="K121" i="7"/>
  <c r="J121" i="7" s="1"/>
  <c r="I120" i="7"/>
  <c r="H120" i="7"/>
  <c r="C120" i="7"/>
  <c r="K120" i="7"/>
  <c r="J120" i="7" s="1"/>
  <c r="I119" i="7"/>
  <c r="H119" i="7"/>
  <c r="C119" i="7"/>
  <c r="K119" i="7"/>
  <c r="J119" i="7" s="1"/>
  <c r="I118" i="7"/>
  <c r="H118" i="7"/>
  <c r="C118" i="7"/>
  <c r="K118" i="7"/>
  <c r="J118" i="7" s="1"/>
  <c r="I117" i="7"/>
  <c r="H117" i="7"/>
  <c r="C117" i="7"/>
  <c r="K117" i="7"/>
  <c r="J117" i="7" s="1"/>
  <c r="I116" i="7"/>
  <c r="H116" i="7"/>
  <c r="C116" i="7"/>
  <c r="K116" i="7"/>
  <c r="J116" i="7" s="1"/>
  <c r="I115" i="7"/>
  <c r="H115" i="7"/>
  <c r="C115" i="7"/>
  <c r="K115" i="7"/>
  <c r="J115" i="7" s="1"/>
  <c r="I114" i="7"/>
  <c r="H114" i="7"/>
  <c r="C114" i="7"/>
  <c r="K114" i="7"/>
  <c r="J114" i="7" s="1"/>
  <c r="I113" i="7"/>
  <c r="H113" i="7"/>
  <c r="C113" i="7"/>
  <c r="K113" i="7"/>
  <c r="J113" i="7" s="1"/>
  <c r="I112" i="7"/>
  <c r="H112" i="7"/>
  <c r="C112" i="7"/>
  <c r="K112" i="7"/>
  <c r="J112" i="7" s="1"/>
  <c r="I111" i="7"/>
  <c r="H111" i="7"/>
  <c r="C111" i="7"/>
  <c r="K111" i="7"/>
  <c r="J111" i="7" s="1"/>
  <c r="I110" i="7"/>
  <c r="H110" i="7"/>
  <c r="C110" i="7"/>
  <c r="K110" i="7"/>
  <c r="J110" i="7" s="1"/>
  <c r="I109" i="7"/>
  <c r="H109" i="7"/>
  <c r="C109" i="7"/>
  <c r="K109" i="7"/>
  <c r="J109" i="7" s="1"/>
  <c r="I108" i="7"/>
  <c r="H108" i="7"/>
  <c r="C108" i="7"/>
  <c r="K108" i="7"/>
  <c r="J108" i="7" s="1"/>
  <c r="I107" i="7"/>
  <c r="H107" i="7"/>
  <c r="C107" i="7"/>
  <c r="K107" i="7"/>
  <c r="J107" i="7" s="1"/>
  <c r="I106" i="7"/>
  <c r="H106" i="7"/>
  <c r="C106" i="7"/>
  <c r="K106" i="7"/>
  <c r="J106" i="7" s="1"/>
  <c r="I105" i="7"/>
  <c r="H105" i="7"/>
  <c r="C105" i="7"/>
  <c r="K105" i="7"/>
  <c r="J105" i="7" s="1"/>
  <c r="I104" i="7"/>
  <c r="H104" i="7"/>
  <c r="C104" i="7"/>
  <c r="K104" i="7"/>
  <c r="J104" i="7" s="1"/>
  <c r="I103" i="7"/>
  <c r="H103" i="7"/>
  <c r="C103" i="7"/>
  <c r="K103" i="7"/>
  <c r="J103" i="7" s="1"/>
  <c r="I102" i="7"/>
  <c r="H102" i="7"/>
  <c r="C102" i="7"/>
  <c r="K102" i="7"/>
  <c r="J102" i="7" s="1"/>
  <c r="I101" i="7"/>
  <c r="H101" i="7"/>
  <c r="C101" i="7"/>
  <c r="K101" i="7"/>
  <c r="J101" i="7" s="1"/>
  <c r="I100" i="7"/>
  <c r="H100" i="7"/>
  <c r="C100" i="7"/>
  <c r="K100" i="7"/>
  <c r="J100" i="7" s="1"/>
  <c r="I99" i="7"/>
  <c r="H99" i="7"/>
  <c r="C99" i="7"/>
  <c r="K99" i="7"/>
  <c r="J99" i="7" s="1"/>
  <c r="I98" i="7"/>
  <c r="H98" i="7"/>
  <c r="C98" i="7"/>
  <c r="K98" i="7"/>
  <c r="J98" i="7" s="1"/>
  <c r="I97" i="7"/>
  <c r="H97" i="7"/>
  <c r="C97" i="7"/>
  <c r="K97" i="7"/>
  <c r="J97" i="7" s="1"/>
  <c r="I96" i="7"/>
  <c r="H96" i="7"/>
  <c r="C96" i="7"/>
  <c r="K96" i="7"/>
  <c r="J96" i="7" s="1"/>
  <c r="I95" i="7"/>
  <c r="H95" i="7"/>
  <c r="C95" i="7"/>
  <c r="K95" i="7"/>
  <c r="J95" i="7" s="1"/>
  <c r="I94" i="7"/>
  <c r="H94" i="7"/>
  <c r="C94" i="7"/>
  <c r="K94" i="7"/>
  <c r="J94" i="7" s="1"/>
  <c r="I93" i="7"/>
  <c r="H93" i="7"/>
  <c r="C93" i="7"/>
  <c r="K93" i="7"/>
  <c r="J93" i="7" s="1"/>
  <c r="I92" i="7"/>
  <c r="H92" i="7"/>
  <c r="C92" i="7"/>
  <c r="K92" i="7"/>
  <c r="J92" i="7" s="1"/>
  <c r="I91" i="7"/>
  <c r="H91" i="7"/>
  <c r="C91" i="7"/>
  <c r="K91" i="7"/>
  <c r="J91" i="7" s="1"/>
  <c r="I90" i="7"/>
  <c r="H90" i="7"/>
  <c r="C90" i="7"/>
  <c r="K90" i="7"/>
  <c r="J90" i="7" s="1"/>
  <c r="I89" i="7"/>
  <c r="H89" i="7"/>
  <c r="C89" i="7"/>
  <c r="K89" i="7"/>
  <c r="J89" i="7" s="1"/>
  <c r="I88" i="7"/>
  <c r="H88" i="7"/>
  <c r="C88" i="7"/>
  <c r="K88" i="7"/>
  <c r="J88" i="7" s="1"/>
  <c r="I87" i="7"/>
  <c r="H87" i="7"/>
  <c r="C87" i="7"/>
  <c r="K87" i="7"/>
  <c r="J87" i="7" s="1"/>
  <c r="I86" i="7"/>
  <c r="H86" i="7"/>
  <c r="C86" i="7"/>
  <c r="K86" i="7"/>
  <c r="J86" i="7" s="1"/>
  <c r="I85" i="7"/>
  <c r="H85" i="7"/>
  <c r="C85" i="7"/>
  <c r="K85" i="7"/>
  <c r="J85" i="7" s="1"/>
  <c r="I84" i="7"/>
  <c r="H84" i="7"/>
  <c r="C84" i="7"/>
  <c r="K84" i="7"/>
  <c r="J84" i="7" s="1"/>
  <c r="I83" i="7"/>
  <c r="H83" i="7"/>
  <c r="C83" i="7"/>
  <c r="K83" i="7"/>
  <c r="J83" i="7" s="1"/>
  <c r="I82" i="7"/>
  <c r="H82" i="7"/>
  <c r="C82" i="7"/>
  <c r="K82" i="7"/>
  <c r="J82" i="7" s="1"/>
  <c r="I81" i="7"/>
  <c r="H81" i="7"/>
  <c r="C81" i="7"/>
  <c r="K81" i="7"/>
  <c r="J81" i="7" s="1"/>
  <c r="I80" i="7"/>
  <c r="H80" i="7"/>
  <c r="C80" i="7"/>
  <c r="K80" i="7"/>
  <c r="J80" i="7" s="1"/>
  <c r="I79" i="7"/>
  <c r="H79" i="7"/>
  <c r="C79" i="7"/>
  <c r="K79" i="7"/>
  <c r="J79" i="7" s="1"/>
  <c r="I78" i="7"/>
  <c r="H78" i="7"/>
  <c r="C78" i="7"/>
  <c r="K78" i="7"/>
  <c r="J78" i="7" s="1"/>
  <c r="I77" i="7"/>
  <c r="H77" i="7"/>
  <c r="C77" i="7"/>
  <c r="K77" i="7"/>
  <c r="J77" i="7" s="1"/>
  <c r="I76" i="7"/>
  <c r="H76" i="7"/>
  <c r="C76" i="7"/>
  <c r="K76" i="7"/>
  <c r="J76" i="7" s="1"/>
  <c r="I75" i="7"/>
  <c r="H75" i="7"/>
  <c r="C75" i="7"/>
  <c r="K75" i="7"/>
  <c r="J75" i="7" s="1"/>
  <c r="I74" i="7"/>
  <c r="H74" i="7"/>
  <c r="C74" i="7"/>
  <c r="K74" i="7"/>
  <c r="J74" i="7" s="1"/>
  <c r="I73" i="7"/>
  <c r="H73" i="7"/>
  <c r="C73" i="7"/>
  <c r="K73" i="7"/>
  <c r="J73" i="7" s="1"/>
  <c r="I72" i="7"/>
  <c r="H72" i="7"/>
  <c r="C72" i="7"/>
  <c r="K72" i="7"/>
  <c r="J72" i="7" s="1"/>
  <c r="I71" i="7"/>
  <c r="H71" i="7"/>
  <c r="C71" i="7"/>
  <c r="K71" i="7"/>
  <c r="J71" i="7" s="1"/>
  <c r="I70" i="7"/>
  <c r="H70" i="7"/>
  <c r="C70" i="7"/>
  <c r="K70" i="7"/>
  <c r="J70" i="7" s="1"/>
  <c r="I69" i="7"/>
  <c r="H69" i="7"/>
  <c r="C69" i="7"/>
  <c r="K69" i="7"/>
  <c r="J69" i="7" s="1"/>
  <c r="I68" i="7"/>
  <c r="H68" i="7"/>
  <c r="C68" i="7"/>
  <c r="K68" i="7"/>
  <c r="J68" i="7" s="1"/>
  <c r="I67" i="7"/>
  <c r="H67" i="7"/>
  <c r="C67" i="7"/>
  <c r="K67" i="7"/>
  <c r="J67" i="7" s="1"/>
  <c r="I66" i="7"/>
  <c r="H66" i="7"/>
  <c r="C66" i="7"/>
  <c r="K66" i="7"/>
  <c r="J66" i="7" s="1"/>
  <c r="I65" i="7"/>
  <c r="H65" i="7"/>
  <c r="C65" i="7"/>
  <c r="K65" i="7"/>
  <c r="J65" i="7" s="1"/>
  <c r="I64" i="7"/>
  <c r="H64" i="7"/>
  <c r="C64" i="7"/>
  <c r="K64" i="7"/>
  <c r="J64" i="7" s="1"/>
  <c r="I63" i="7"/>
  <c r="H63" i="7"/>
  <c r="C63" i="7"/>
  <c r="K63" i="7"/>
  <c r="J63" i="7" s="1"/>
  <c r="I62" i="7"/>
  <c r="H62" i="7"/>
  <c r="C62" i="7"/>
  <c r="K62" i="7"/>
  <c r="J62" i="7" s="1"/>
  <c r="I61" i="7"/>
  <c r="H61" i="7"/>
  <c r="C61" i="7"/>
  <c r="K61" i="7"/>
  <c r="J61" i="7" s="1"/>
  <c r="I60" i="7"/>
  <c r="H60" i="7"/>
  <c r="C60" i="7"/>
  <c r="K60" i="7"/>
  <c r="J60" i="7" s="1"/>
  <c r="I59" i="7"/>
  <c r="H59" i="7"/>
  <c r="C59" i="7"/>
  <c r="K59" i="7"/>
  <c r="J59" i="7" s="1"/>
  <c r="I58" i="7"/>
  <c r="H58" i="7"/>
  <c r="C58" i="7"/>
  <c r="K58" i="7"/>
  <c r="J58" i="7" s="1"/>
  <c r="I57" i="7"/>
  <c r="H57" i="7"/>
  <c r="C57" i="7"/>
  <c r="K57" i="7"/>
  <c r="J57" i="7" s="1"/>
  <c r="I56" i="7"/>
  <c r="H56" i="7"/>
  <c r="C56" i="7"/>
  <c r="K56" i="7"/>
  <c r="J56" i="7" s="1"/>
  <c r="I55" i="7"/>
  <c r="H55" i="7"/>
  <c r="C55" i="7"/>
  <c r="K55" i="7"/>
  <c r="J55" i="7" s="1"/>
  <c r="I54" i="7"/>
  <c r="H54" i="7"/>
  <c r="C54" i="7"/>
  <c r="K54" i="7"/>
  <c r="J54" i="7" s="1"/>
  <c r="I53" i="7"/>
  <c r="H53" i="7"/>
  <c r="C53" i="7"/>
  <c r="K53" i="7"/>
  <c r="J53" i="7" s="1"/>
  <c r="I52" i="7"/>
  <c r="H52" i="7"/>
  <c r="C52" i="7"/>
  <c r="K52" i="7"/>
  <c r="J52" i="7" s="1"/>
  <c r="I51" i="7"/>
  <c r="H51" i="7"/>
  <c r="C51" i="7"/>
  <c r="K51" i="7"/>
  <c r="J51" i="7" s="1"/>
  <c r="I50" i="7"/>
  <c r="H50" i="7"/>
  <c r="C50" i="7"/>
  <c r="K50" i="7"/>
  <c r="J50" i="7" s="1"/>
  <c r="I49" i="7"/>
  <c r="H49" i="7"/>
  <c r="C49" i="7"/>
  <c r="K49" i="7"/>
  <c r="J49" i="7" s="1"/>
  <c r="I48" i="7"/>
  <c r="H48" i="7"/>
  <c r="C48" i="7"/>
  <c r="K48" i="7"/>
  <c r="J48" i="7" s="1"/>
  <c r="I47" i="7"/>
  <c r="H47" i="7"/>
  <c r="C47" i="7"/>
  <c r="K47" i="7"/>
  <c r="J47" i="7" s="1"/>
  <c r="I46" i="7"/>
  <c r="H46" i="7"/>
  <c r="C46" i="7"/>
  <c r="K46" i="7"/>
  <c r="J46" i="7" s="1"/>
  <c r="I45" i="7"/>
  <c r="H45" i="7"/>
  <c r="C45" i="7"/>
  <c r="K45" i="7"/>
  <c r="J45" i="7" s="1"/>
  <c r="I44" i="7"/>
  <c r="H44" i="7"/>
  <c r="C44" i="7"/>
  <c r="K44" i="7"/>
  <c r="J44" i="7" s="1"/>
  <c r="I43" i="7"/>
  <c r="H43" i="7"/>
  <c r="C43" i="7"/>
  <c r="K43" i="7"/>
  <c r="J43" i="7" s="1"/>
  <c r="I42" i="7"/>
  <c r="H42" i="7"/>
  <c r="C42" i="7"/>
  <c r="K42" i="7"/>
  <c r="J42" i="7" s="1"/>
  <c r="I41" i="7"/>
  <c r="H41" i="7"/>
  <c r="C41" i="7"/>
  <c r="K41" i="7"/>
  <c r="J41" i="7" s="1"/>
  <c r="I40" i="7"/>
  <c r="H40" i="7"/>
  <c r="C40" i="7"/>
  <c r="K40" i="7"/>
  <c r="J40" i="7" s="1"/>
  <c r="I39" i="7"/>
  <c r="H39" i="7"/>
  <c r="C39" i="7"/>
  <c r="K39" i="7"/>
  <c r="J39" i="7" s="1"/>
  <c r="I38" i="7"/>
  <c r="H38" i="7"/>
  <c r="C38" i="7"/>
  <c r="K38" i="7"/>
  <c r="J38" i="7" s="1"/>
  <c r="I37" i="7"/>
  <c r="H37" i="7"/>
  <c r="C37" i="7"/>
  <c r="K37" i="7"/>
  <c r="J37" i="7" s="1"/>
  <c r="I36" i="7"/>
  <c r="H36" i="7"/>
  <c r="C36" i="7"/>
  <c r="K36" i="7"/>
  <c r="J36" i="7" s="1"/>
  <c r="I35" i="7"/>
  <c r="H35" i="7"/>
  <c r="C35" i="7"/>
  <c r="K35" i="7"/>
  <c r="J35" i="7" s="1"/>
  <c r="I34" i="7"/>
  <c r="H34" i="7"/>
  <c r="C34" i="7"/>
  <c r="K34" i="7"/>
  <c r="J34" i="7" s="1"/>
  <c r="I33" i="7"/>
  <c r="H33" i="7"/>
  <c r="C33" i="7"/>
  <c r="K33" i="7"/>
  <c r="J33" i="7" s="1"/>
  <c r="I32" i="7"/>
  <c r="H32" i="7"/>
  <c r="C32" i="7"/>
  <c r="K32" i="7"/>
  <c r="J32" i="7" s="1"/>
  <c r="I31" i="7"/>
  <c r="H31" i="7"/>
  <c r="C31" i="7"/>
  <c r="K31" i="7"/>
  <c r="J31" i="7" s="1"/>
  <c r="I30" i="7"/>
  <c r="H30" i="7"/>
  <c r="C30" i="7"/>
  <c r="K30" i="7"/>
  <c r="J30" i="7" s="1"/>
  <c r="I29" i="7"/>
  <c r="H29" i="7"/>
  <c r="C29" i="7"/>
  <c r="K29" i="7"/>
  <c r="J29" i="7" s="1"/>
  <c r="I28" i="7"/>
  <c r="H28" i="7"/>
  <c r="C28" i="7"/>
  <c r="K28" i="7"/>
  <c r="J28" i="7" s="1"/>
  <c r="I27" i="7"/>
  <c r="H27" i="7"/>
  <c r="C27" i="7"/>
  <c r="K27" i="7"/>
  <c r="J27" i="7" s="1"/>
  <c r="I26" i="7"/>
  <c r="H26" i="7"/>
  <c r="C26" i="7"/>
  <c r="K26" i="7"/>
  <c r="J26" i="7" s="1"/>
  <c r="I25" i="7"/>
  <c r="H25" i="7"/>
  <c r="C25" i="7"/>
  <c r="K25" i="7"/>
  <c r="J25" i="7" s="1"/>
  <c r="I24" i="7"/>
  <c r="H24" i="7"/>
  <c r="C24" i="7"/>
  <c r="K24" i="7"/>
  <c r="J24" i="7" s="1"/>
  <c r="I23" i="7"/>
  <c r="H23" i="7"/>
  <c r="C23" i="7"/>
  <c r="K23" i="7"/>
  <c r="J23" i="7" s="1"/>
  <c r="I22" i="7"/>
  <c r="H22" i="7"/>
  <c r="C22" i="7"/>
  <c r="K22" i="7"/>
  <c r="J22" i="7" s="1"/>
  <c r="I21" i="7"/>
  <c r="H21" i="7"/>
  <c r="C21" i="7"/>
  <c r="K21" i="7"/>
  <c r="J21" i="7" s="1"/>
  <c r="I20" i="7"/>
  <c r="H20" i="7"/>
  <c r="C20" i="7"/>
  <c r="K20" i="7"/>
  <c r="J20" i="7" s="1"/>
  <c r="I19" i="7"/>
  <c r="H19" i="7"/>
  <c r="C19" i="7"/>
  <c r="K19" i="7"/>
  <c r="J19" i="7" s="1"/>
  <c r="I18" i="7"/>
  <c r="H18" i="7"/>
  <c r="C18" i="7"/>
  <c r="K18" i="7"/>
  <c r="J18" i="7" s="1"/>
  <c r="I17" i="7"/>
  <c r="H17" i="7"/>
  <c r="C17" i="7"/>
  <c r="K17" i="7"/>
  <c r="J17" i="7" s="1"/>
  <c r="I16" i="7"/>
  <c r="H16" i="7"/>
  <c r="C16" i="7"/>
  <c r="K16" i="7"/>
  <c r="J16" i="7" s="1"/>
  <c r="I15" i="7"/>
  <c r="H15" i="7"/>
  <c r="C15" i="7"/>
  <c r="K15" i="7"/>
  <c r="J15" i="7" s="1"/>
  <c r="I14" i="7"/>
  <c r="H14" i="7"/>
  <c r="C14" i="7"/>
  <c r="K14" i="7"/>
  <c r="J14" i="7" s="1"/>
  <c r="I13" i="7"/>
  <c r="H13" i="7"/>
  <c r="C13" i="7"/>
  <c r="K13" i="7"/>
  <c r="J13" i="7" s="1"/>
  <c r="I12" i="7"/>
  <c r="H12" i="7"/>
  <c r="C12" i="7"/>
  <c r="K12" i="7"/>
  <c r="J12" i="7" s="1"/>
  <c r="I11" i="7"/>
  <c r="H11" i="7"/>
  <c r="C11" i="7"/>
  <c r="K11" i="7"/>
  <c r="J11" i="7" s="1"/>
  <c r="I10" i="7"/>
  <c r="H10" i="7"/>
  <c r="C10" i="7"/>
  <c r="K10" i="7"/>
  <c r="J10" i="7" s="1"/>
  <c r="I9" i="7"/>
  <c r="H9" i="7"/>
  <c r="C9" i="7"/>
  <c r="K9" i="7"/>
  <c r="J9" i="7" s="1"/>
  <c r="I8" i="7"/>
  <c r="H8" i="7"/>
  <c r="C8" i="7"/>
  <c r="K8" i="7"/>
  <c r="J8" i="7" s="1"/>
  <c r="I7" i="7"/>
  <c r="H7" i="7"/>
  <c r="C7" i="7"/>
  <c r="K7" i="7"/>
  <c r="J7" i="7" s="1"/>
  <c r="I6" i="7"/>
  <c r="H6" i="7"/>
  <c r="C6" i="7"/>
  <c r="K6" i="7"/>
  <c r="J6" i="7" s="1"/>
  <c r="H5" i="7"/>
  <c r="C5" i="7"/>
  <c r="Q104" i="7"/>
  <c r="P104" i="7" s="1"/>
  <c r="R104" i="7"/>
  <c r="Q103" i="7"/>
  <c r="P103" i="7" s="1"/>
  <c r="R103" i="7"/>
  <c r="Q102" i="7"/>
  <c r="P102" i="7" s="1"/>
  <c r="R102" i="7"/>
  <c r="Q101" i="7"/>
  <c r="P101" i="7" s="1"/>
  <c r="R101" i="7"/>
  <c r="Q100" i="7"/>
  <c r="P100" i="7" s="1"/>
  <c r="R100" i="7"/>
  <c r="Q99" i="7"/>
  <c r="P99" i="7" s="1"/>
  <c r="R99" i="7"/>
  <c r="Q98" i="7"/>
  <c r="P98" i="7" s="1"/>
  <c r="R98" i="7"/>
  <c r="Q97" i="7"/>
  <c r="P97" i="7" s="1"/>
  <c r="R97" i="7"/>
  <c r="Q96" i="7"/>
  <c r="P96" i="7" s="1"/>
  <c r="R96" i="7"/>
  <c r="Q95" i="7"/>
  <c r="P95" i="7" s="1"/>
  <c r="R95" i="7"/>
  <c r="Q94" i="7"/>
  <c r="P94" i="7" s="1"/>
  <c r="R94" i="7"/>
  <c r="Q93" i="7"/>
  <c r="P93" i="7" s="1"/>
  <c r="R93" i="7"/>
  <c r="Q92" i="7"/>
  <c r="P92" i="7" s="1"/>
  <c r="R92" i="7"/>
  <c r="Q91" i="7"/>
  <c r="P91" i="7" s="1"/>
  <c r="R91" i="7"/>
  <c r="Q90" i="7"/>
  <c r="P90" i="7" s="1"/>
  <c r="R90" i="7"/>
  <c r="Q89" i="7"/>
  <c r="P89" i="7" s="1"/>
  <c r="R89" i="7"/>
  <c r="Q88" i="7"/>
  <c r="P88" i="7" s="1"/>
  <c r="R88" i="7"/>
  <c r="Q87" i="7"/>
  <c r="P87" i="7" s="1"/>
  <c r="R87" i="7"/>
  <c r="Q86" i="7"/>
  <c r="P86" i="7" s="1"/>
  <c r="R86" i="7"/>
  <c r="Q85" i="7"/>
  <c r="P85" i="7" s="1"/>
  <c r="R85" i="7"/>
  <c r="Q84" i="7"/>
  <c r="P84" i="7" s="1"/>
  <c r="R84" i="7"/>
  <c r="Q83" i="7"/>
  <c r="P83" i="7" s="1"/>
  <c r="R83" i="7"/>
  <c r="Q82" i="7"/>
  <c r="P82" i="7" s="1"/>
  <c r="R82" i="7"/>
  <c r="Q81" i="7"/>
  <c r="P81" i="7" s="1"/>
  <c r="R81" i="7"/>
  <c r="Q80" i="7"/>
  <c r="P80" i="7" s="1"/>
  <c r="R80" i="7"/>
  <c r="Q79" i="7"/>
  <c r="P79" i="7" s="1"/>
  <c r="R79" i="7"/>
  <c r="Q78" i="7"/>
  <c r="P78" i="7" s="1"/>
  <c r="R78" i="7"/>
  <c r="Q77" i="7"/>
  <c r="P77" i="7" s="1"/>
  <c r="R77" i="7"/>
  <c r="Q76" i="7"/>
  <c r="P76" i="7" s="1"/>
  <c r="R76" i="7"/>
  <c r="Q75" i="7"/>
  <c r="P75" i="7" s="1"/>
  <c r="R75" i="7"/>
  <c r="Q74" i="7"/>
  <c r="P74" i="7" s="1"/>
  <c r="R74" i="7"/>
  <c r="Q73" i="7"/>
  <c r="P73" i="7" s="1"/>
  <c r="R73" i="7"/>
  <c r="Q72" i="7"/>
  <c r="P72" i="7" s="1"/>
  <c r="R72" i="7"/>
  <c r="Q71" i="7"/>
  <c r="P71" i="7" s="1"/>
  <c r="R71" i="7"/>
  <c r="Q70" i="7"/>
  <c r="P70" i="7" s="1"/>
  <c r="R70" i="7"/>
  <c r="Q69" i="7"/>
  <c r="P69" i="7" s="1"/>
  <c r="R69" i="7"/>
  <c r="Q68" i="7"/>
  <c r="P68" i="7" s="1"/>
  <c r="R68" i="7"/>
  <c r="Q67" i="7"/>
  <c r="P67" i="7" s="1"/>
  <c r="R67" i="7"/>
  <c r="Q66" i="7"/>
  <c r="P66" i="7" s="1"/>
  <c r="R66" i="7"/>
  <c r="Q65" i="7"/>
  <c r="P65" i="7" s="1"/>
  <c r="R65" i="7"/>
  <c r="Q64" i="7"/>
  <c r="P64" i="7" s="1"/>
  <c r="R64" i="7"/>
  <c r="Q63" i="7"/>
  <c r="P63" i="7" s="1"/>
  <c r="R63" i="7"/>
  <c r="Q62" i="7"/>
  <c r="P62" i="7" s="1"/>
  <c r="R62" i="7"/>
  <c r="Q61" i="7"/>
  <c r="P61" i="7" s="1"/>
  <c r="R61" i="7"/>
  <c r="Q60" i="7"/>
  <c r="P60" i="7" s="1"/>
  <c r="R60" i="7"/>
  <c r="Q59" i="7"/>
  <c r="P59" i="7" s="1"/>
  <c r="R59" i="7"/>
  <c r="Q58" i="7"/>
  <c r="P58" i="7" s="1"/>
  <c r="R58" i="7"/>
  <c r="Q57" i="7"/>
  <c r="P57" i="7" s="1"/>
  <c r="R57" i="7"/>
  <c r="Q56" i="7"/>
  <c r="P56" i="7" s="1"/>
  <c r="R56" i="7"/>
  <c r="Q55" i="7"/>
  <c r="P55" i="7" s="1"/>
  <c r="R55" i="7"/>
  <c r="Q54" i="7"/>
  <c r="P54" i="7" s="1"/>
  <c r="R54" i="7"/>
  <c r="Q53" i="7"/>
  <c r="P53" i="7" s="1"/>
  <c r="R53" i="7"/>
  <c r="Q52" i="7"/>
  <c r="P52" i="7" s="1"/>
  <c r="R52" i="7"/>
  <c r="Q51" i="7"/>
  <c r="T51" i="7" s="1"/>
  <c r="R51" i="7"/>
  <c r="Q50" i="7"/>
  <c r="P50" i="7" s="1"/>
  <c r="R50" i="7"/>
  <c r="Q49" i="7"/>
  <c r="P49" i="7" s="1"/>
  <c r="R49" i="7"/>
  <c r="Q48" i="7"/>
  <c r="P48" i="7" s="1"/>
  <c r="R48" i="7"/>
  <c r="Q47" i="7"/>
  <c r="P47" i="7" s="1"/>
  <c r="R47" i="7"/>
  <c r="Q46" i="7"/>
  <c r="P46" i="7" s="1"/>
  <c r="R46" i="7"/>
  <c r="Q45" i="7"/>
  <c r="P45" i="7" s="1"/>
  <c r="R45" i="7"/>
  <c r="Q44" i="7"/>
  <c r="P44" i="7" s="1"/>
  <c r="R44" i="7"/>
  <c r="Q43" i="7"/>
  <c r="P43" i="7" s="1"/>
  <c r="R43" i="7"/>
  <c r="Q42" i="7"/>
  <c r="P42" i="7" s="1"/>
  <c r="R42" i="7"/>
  <c r="Q41" i="7"/>
  <c r="P41" i="7" s="1"/>
  <c r="R41" i="7"/>
  <c r="Q40" i="7"/>
  <c r="P40" i="7" s="1"/>
  <c r="R40" i="7"/>
  <c r="Q39" i="7"/>
  <c r="P39" i="7" s="1"/>
  <c r="R39" i="7"/>
  <c r="Q38" i="7"/>
  <c r="P38" i="7" s="1"/>
  <c r="R38" i="7"/>
  <c r="Q37" i="7"/>
  <c r="P37" i="7" s="1"/>
  <c r="R37" i="7"/>
  <c r="Q36" i="7"/>
  <c r="P36" i="7" s="1"/>
  <c r="R36" i="7"/>
  <c r="Q35" i="7"/>
  <c r="P35" i="7" s="1"/>
  <c r="R35" i="7"/>
  <c r="Q34" i="7"/>
  <c r="P34" i="7" s="1"/>
  <c r="R34" i="7"/>
  <c r="Q33" i="7"/>
  <c r="P33" i="7" s="1"/>
  <c r="R33" i="7"/>
  <c r="Q32" i="7"/>
  <c r="P32" i="7" s="1"/>
  <c r="R32" i="7"/>
  <c r="Q31" i="7"/>
  <c r="P31" i="7" s="1"/>
  <c r="R31" i="7"/>
  <c r="Q30" i="7"/>
  <c r="P30" i="7" s="1"/>
  <c r="R30" i="7"/>
  <c r="Q29" i="7"/>
  <c r="P29" i="7" s="1"/>
  <c r="R29" i="7"/>
  <c r="Q28" i="7"/>
  <c r="P28" i="7" s="1"/>
  <c r="R28" i="7"/>
  <c r="Q27" i="7"/>
  <c r="P27" i="7" s="1"/>
  <c r="R27" i="7"/>
  <c r="Q26" i="7"/>
  <c r="P26" i="7" s="1"/>
  <c r="R26" i="7"/>
  <c r="Q25" i="7"/>
  <c r="P25" i="7" s="1"/>
  <c r="R25" i="7"/>
  <c r="Q24" i="7"/>
  <c r="P24" i="7" s="1"/>
  <c r="R24" i="7"/>
  <c r="Q23" i="7"/>
  <c r="P23" i="7" s="1"/>
  <c r="R23" i="7"/>
  <c r="Q22" i="7"/>
  <c r="P22" i="7" s="1"/>
  <c r="R22" i="7"/>
  <c r="Q21" i="7"/>
  <c r="P21" i="7" s="1"/>
  <c r="R21" i="7"/>
  <c r="Q20" i="7"/>
  <c r="P20" i="7" s="1"/>
  <c r="R20" i="7"/>
  <c r="Q19" i="7"/>
  <c r="P19" i="7" s="1"/>
  <c r="R19" i="7"/>
  <c r="Q18" i="7"/>
  <c r="P18" i="7" s="1"/>
  <c r="R18" i="7"/>
  <c r="Q17" i="7"/>
  <c r="P17" i="7" s="1"/>
  <c r="R17" i="7"/>
  <c r="Q16" i="7"/>
  <c r="P16" i="7" s="1"/>
  <c r="R16" i="7"/>
  <c r="Q15" i="7"/>
  <c r="P15" i="7" s="1"/>
  <c r="R15" i="7"/>
  <c r="Q14" i="7"/>
  <c r="P14" i="7" s="1"/>
  <c r="R14" i="7"/>
  <c r="Q13" i="7"/>
  <c r="P13" i="7" s="1"/>
  <c r="R13" i="7"/>
  <c r="Q12" i="7"/>
  <c r="P12" i="7" s="1"/>
  <c r="R12" i="7"/>
  <c r="Q11" i="7"/>
  <c r="P11" i="7" s="1"/>
  <c r="R11" i="7"/>
  <c r="Q10" i="7"/>
  <c r="P10" i="7" s="1"/>
  <c r="R10" i="7"/>
  <c r="Q9" i="7"/>
  <c r="P9" i="7" s="1"/>
  <c r="R9" i="7"/>
  <c r="Q8" i="7"/>
  <c r="P8" i="7" s="1"/>
  <c r="R8" i="7"/>
  <c r="Q7" i="7"/>
  <c r="P7" i="7" s="1"/>
  <c r="R7" i="7"/>
  <c r="Q6" i="7"/>
  <c r="P6" i="7" s="1"/>
  <c r="R6" i="7"/>
  <c r="Q25" i="5"/>
  <c r="N25" i="5"/>
  <c r="K25" i="5"/>
  <c r="H25" i="5"/>
  <c r="E25" i="5"/>
  <c r="Q24" i="5"/>
  <c r="N24" i="5"/>
  <c r="K24" i="5"/>
  <c r="H24" i="5"/>
  <c r="E24" i="5"/>
  <c r="Q23" i="5"/>
  <c r="N23" i="5"/>
  <c r="K23" i="5"/>
  <c r="H23" i="5"/>
  <c r="E23" i="5"/>
  <c r="Q22" i="5"/>
  <c r="N22" i="5"/>
  <c r="K22" i="5"/>
  <c r="H22" i="5"/>
  <c r="E22" i="5"/>
  <c r="Q21" i="5"/>
  <c r="N21" i="5"/>
  <c r="K21" i="5"/>
  <c r="H21" i="5"/>
  <c r="E21" i="5"/>
  <c r="Q20" i="5"/>
  <c r="N20" i="5"/>
  <c r="K20" i="5"/>
  <c r="H20" i="5"/>
  <c r="E20" i="5"/>
  <c r="Q19" i="5"/>
  <c r="N19" i="5"/>
  <c r="K19" i="5"/>
  <c r="H19" i="5"/>
  <c r="E19" i="5"/>
  <c r="Q18" i="5"/>
  <c r="N18" i="5"/>
  <c r="K18" i="5"/>
  <c r="H18" i="5"/>
  <c r="E18" i="5"/>
  <c r="Q17" i="5"/>
  <c r="N17" i="5"/>
  <c r="K17" i="5"/>
  <c r="H17" i="5"/>
  <c r="E17" i="5"/>
  <c r="Q16" i="5"/>
  <c r="N16" i="5"/>
  <c r="K16" i="5"/>
  <c r="H16" i="5"/>
  <c r="E16" i="5"/>
  <c r="Q15" i="5"/>
  <c r="N15" i="5"/>
  <c r="K15" i="5"/>
  <c r="H15" i="5"/>
  <c r="E15" i="5"/>
  <c r="Q14" i="5"/>
  <c r="N14" i="5"/>
  <c r="K14" i="5"/>
  <c r="H14" i="5"/>
  <c r="E14" i="5"/>
  <c r="Q13" i="5"/>
  <c r="N13" i="5"/>
  <c r="K13" i="5"/>
  <c r="H13" i="5"/>
  <c r="E13" i="5"/>
  <c r="Q12" i="5"/>
  <c r="N12" i="5"/>
  <c r="K12" i="5"/>
  <c r="H12" i="5"/>
  <c r="E12" i="5"/>
  <c r="Q11" i="5"/>
  <c r="N11" i="5"/>
  <c r="K11" i="5"/>
  <c r="H11" i="5"/>
  <c r="E11" i="5"/>
  <c r="Q10" i="5"/>
  <c r="N10" i="5"/>
  <c r="K10" i="5"/>
  <c r="H10" i="5"/>
  <c r="E10" i="5"/>
  <c r="Q9" i="5"/>
  <c r="N9" i="5"/>
  <c r="K9" i="5"/>
  <c r="H9" i="5"/>
  <c r="E9" i="5"/>
  <c r="Q8" i="5"/>
  <c r="N8" i="5"/>
  <c r="K8" i="5"/>
  <c r="H8" i="5"/>
  <c r="E8" i="5"/>
  <c r="Q7" i="5"/>
  <c r="N7" i="5"/>
  <c r="K7" i="5"/>
  <c r="H7" i="5"/>
  <c r="E7" i="5"/>
  <c r="W25" i="5"/>
  <c r="X25" i="5" s="1"/>
  <c r="W24" i="5"/>
  <c r="X24" i="5" s="1"/>
  <c r="W23" i="5"/>
  <c r="X23" i="5" s="1"/>
  <c r="W22" i="5"/>
  <c r="X22" i="5" s="1"/>
  <c r="W21" i="5"/>
  <c r="X21" i="5" s="1"/>
  <c r="W20" i="5"/>
  <c r="X20" i="5" s="1"/>
  <c r="W19" i="5"/>
  <c r="X19" i="5" s="1"/>
  <c r="W18" i="5"/>
  <c r="X18" i="5" s="1"/>
  <c r="W17" i="5"/>
  <c r="X17" i="5" s="1"/>
  <c r="W16" i="5"/>
  <c r="X16" i="5" s="1"/>
  <c r="W15" i="5"/>
  <c r="X15" i="5" s="1"/>
  <c r="W14" i="5"/>
  <c r="X14" i="5" s="1"/>
  <c r="W13" i="5"/>
  <c r="X13" i="5" s="1"/>
  <c r="W12" i="5"/>
  <c r="X12" i="5" s="1"/>
  <c r="W11" i="5"/>
  <c r="X11" i="5" s="1"/>
  <c r="W10" i="5"/>
  <c r="X10" i="5" s="1"/>
  <c r="W9" i="5"/>
  <c r="X9" i="5" s="1"/>
  <c r="W8" i="5"/>
  <c r="X8" i="5" s="1"/>
  <c r="W7" i="5"/>
  <c r="X7" i="5" s="1"/>
  <c r="W6" i="5"/>
  <c r="A98" i="3"/>
  <c r="A97" i="3"/>
  <c r="A96" i="3"/>
  <c r="A95" i="3"/>
  <c r="A94" i="3"/>
  <c r="A93" i="3"/>
  <c r="A92" i="3"/>
  <c r="A91" i="3"/>
  <c r="A90" i="3"/>
  <c r="A89" i="3"/>
  <c r="A88" i="3"/>
  <c r="A87" i="3"/>
  <c r="A86" i="3"/>
  <c r="A85" i="3"/>
  <c r="A84" i="3"/>
  <c r="A83" i="3"/>
  <c r="A82" i="3"/>
  <c r="A81" i="3"/>
  <c r="A80" i="3"/>
  <c r="A79" i="3"/>
  <c r="B98" i="3"/>
  <c r="B97" i="3"/>
  <c r="B96" i="3"/>
  <c r="B95" i="3"/>
  <c r="B94" i="3"/>
  <c r="B93" i="3"/>
  <c r="B92" i="3"/>
  <c r="B91" i="3"/>
  <c r="B90" i="3"/>
  <c r="B89" i="3"/>
  <c r="B88" i="3"/>
  <c r="B87" i="3"/>
  <c r="B86" i="3"/>
  <c r="B85" i="3"/>
  <c r="B84" i="3"/>
  <c r="H35" i="2"/>
  <c r="H34" i="2"/>
  <c r="H33" i="2"/>
  <c r="H32" i="2"/>
  <c r="H31" i="2"/>
  <c r="H30" i="2"/>
  <c r="H29" i="2"/>
  <c r="H28" i="2"/>
  <c r="H27" i="2"/>
  <c r="H26" i="2"/>
  <c r="H25" i="2"/>
  <c r="H24" i="2"/>
  <c r="H23" i="2"/>
  <c r="H22" i="2"/>
  <c r="H21" i="2"/>
  <c r="I57" i="10" s="1"/>
  <c r="H20" i="2"/>
  <c r="I56" i="10" s="1"/>
  <c r="H19" i="2"/>
  <c r="H18" i="2"/>
  <c r="I54" i="10" s="1"/>
  <c r="H17" i="2"/>
  <c r="H16" i="2"/>
  <c r="I52" i="10" s="1"/>
  <c r="L75" i="5"/>
  <c r="L74" i="5"/>
  <c r="L73" i="5"/>
  <c r="L72" i="5"/>
  <c r="L71" i="5"/>
  <c r="L70" i="5"/>
  <c r="L69" i="5"/>
  <c r="L68" i="5"/>
  <c r="L67" i="5"/>
  <c r="L66" i="5"/>
  <c r="L65" i="5"/>
  <c r="L64" i="5"/>
  <c r="L63" i="5"/>
  <c r="L62" i="5"/>
  <c r="L61" i="5"/>
  <c r="L60" i="5"/>
  <c r="L59" i="5"/>
  <c r="L58" i="5"/>
  <c r="L57" i="5"/>
  <c r="U36" i="5"/>
  <c r="U35" i="5"/>
  <c r="U34" i="5"/>
  <c r="U33" i="5"/>
  <c r="U32" i="5"/>
  <c r="U31" i="5"/>
  <c r="U30" i="5"/>
  <c r="U29" i="5"/>
  <c r="U28" i="5"/>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L36" i="2"/>
  <c r="K36" i="2"/>
  <c r="F98" i="3"/>
  <c r="F97" i="3"/>
  <c r="F96" i="3"/>
  <c r="F95" i="3"/>
  <c r="F94" i="3"/>
  <c r="F93" i="3"/>
  <c r="F92" i="3"/>
  <c r="F91" i="3"/>
  <c r="F90" i="3"/>
  <c r="F89" i="3"/>
  <c r="F88" i="3"/>
  <c r="F87" i="3"/>
  <c r="F86" i="3"/>
  <c r="F85" i="3"/>
  <c r="F84" i="3"/>
  <c r="W47" i="19"/>
  <c r="R40" i="16"/>
  <c r="W46" i="19"/>
  <c r="W31" i="19"/>
  <c r="W43" i="19"/>
  <c r="W38" i="19"/>
  <c r="W35" i="19"/>
  <c r="W41" i="19"/>
  <c r="W33" i="19"/>
  <c r="W48" i="19"/>
  <c r="W45" i="19"/>
  <c r="W37" i="19"/>
  <c r="W36" i="19"/>
  <c r="W44" i="19"/>
  <c r="W42" i="19"/>
  <c r="W34" i="19"/>
  <c r="W39" i="19"/>
  <c r="W49" i="19"/>
  <c r="W40" i="19"/>
  <c r="W50" i="19"/>
  <c r="W32" i="19"/>
  <c r="C22" i="12" l="1"/>
  <c r="C17" i="12"/>
  <c r="V50" i="19"/>
  <c r="U50" i="19"/>
  <c r="U37" i="19"/>
  <c r="V37" i="19"/>
  <c r="V45" i="19"/>
  <c r="U45" i="19"/>
  <c r="V34" i="19"/>
  <c r="U34" i="19"/>
  <c r="V42" i="19"/>
  <c r="U42" i="19"/>
  <c r="V35" i="19"/>
  <c r="U35" i="19"/>
  <c r="V32" i="19"/>
  <c r="U32" i="19"/>
  <c r="V40" i="19"/>
  <c r="U40" i="19"/>
  <c r="V48" i="19"/>
  <c r="U48" i="19"/>
  <c r="V38" i="19"/>
  <c r="U38" i="19"/>
  <c r="V46" i="19"/>
  <c r="U46" i="19"/>
  <c r="V33" i="19"/>
  <c r="U33" i="19"/>
  <c r="V36" i="19"/>
  <c r="U36" i="19"/>
  <c r="V44" i="19"/>
  <c r="U44" i="19"/>
  <c r="V43" i="19"/>
  <c r="U43" i="19"/>
  <c r="V41" i="19"/>
  <c r="U41" i="19"/>
  <c r="V49" i="19"/>
  <c r="U49" i="19"/>
  <c r="U31" i="19"/>
  <c r="V31" i="19"/>
  <c r="U39" i="19"/>
  <c r="V39" i="19"/>
  <c r="U47" i="19"/>
  <c r="V47" i="19"/>
  <c r="J37" i="5"/>
  <c r="Y14" i="5"/>
  <c r="J38" i="5"/>
  <c r="Y15" i="5"/>
  <c r="J39" i="5"/>
  <c r="Y16" i="5"/>
  <c r="J48" i="5"/>
  <c r="Y25" i="5"/>
  <c r="I24" i="15"/>
  <c r="C38" i="15"/>
  <c r="C35" i="15"/>
  <c r="C34" i="15"/>
  <c r="C37" i="15"/>
  <c r="C36" i="15"/>
  <c r="J30" i="5"/>
  <c r="Y7" i="5"/>
  <c r="J32" i="5"/>
  <c r="Y9" i="5"/>
  <c r="J33" i="5"/>
  <c r="Y10" i="5"/>
  <c r="J46" i="5"/>
  <c r="Y23" i="5"/>
  <c r="J31" i="5"/>
  <c r="Y8" i="5"/>
  <c r="J35" i="5"/>
  <c r="Y12" i="5"/>
  <c r="K36" i="5"/>
  <c r="Y13" i="5"/>
  <c r="J42" i="5"/>
  <c r="Y19" i="5"/>
  <c r="J43" i="5"/>
  <c r="Y20" i="5"/>
  <c r="J40" i="5"/>
  <c r="Y17" i="5"/>
  <c r="J41" i="5"/>
  <c r="Y18" i="5"/>
  <c r="K44" i="5"/>
  <c r="Y21" i="5"/>
  <c r="K47" i="5"/>
  <c r="Y24" i="5"/>
  <c r="J34" i="5"/>
  <c r="Y11" i="5"/>
  <c r="C35" i="17"/>
  <c r="C38" i="17"/>
  <c r="C37" i="17"/>
  <c r="C36" i="17"/>
  <c r="C34" i="17"/>
  <c r="K45" i="5"/>
  <c r="Y22" i="5"/>
  <c r="F24" i="24"/>
  <c r="F27" i="24"/>
  <c r="N20" i="20"/>
  <c r="J29" i="2"/>
  <c r="N15" i="20"/>
  <c r="N23" i="20"/>
  <c r="J32" i="2"/>
  <c r="J35" i="2"/>
  <c r="N26" i="20"/>
  <c r="J31" i="2"/>
  <c r="X60" i="21"/>
  <c r="X54" i="21"/>
  <c r="X56" i="21"/>
  <c r="N21" i="20"/>
  <c r="N27" i="20"/>
  <c r="E12" i="20"/>
  <c r="E10" i="20"/>
  <c r="E13" i="20"/>
  <c r="E11" i="20"/>
  <c r="E9" i="20"/>
  <c r="E14" i="20"/>
  <c r="J24" i="2"/>
  <c r="N17" i="20"/>
  <c r="J25" i="2"/>
  <c r="N18" i="20"/>
  <c r="J26" i="2"/>
  <c r="N19" i="20"/>
  <c r="J23" i="2"/>
  <c r="N16" i="20"/>
  <c r="K95" i="22"/>
  <c r="I95" i="22"/>
  <c r="J95" i="22" s="1"/>
  <c r="E19" i="2"/>
  <c r="E20" i="2"/>
  <c r="E16" i="2"/>
  <c r="E18" i="2"/>
  <c r="E17" i="2"/>
  <c r="E21" i="2"/>
  <c r="L38" i="19"/>
  <c r="O38" i="19"/>
  <c r="S38" i="19"/>
  <c r="N38" i="19"/>
  <c r="Q38" i="19"/>
  <c r="R38" i="19"/>
  <c r="M38" i="19"/>
  <c r="P38" i="19"/>
  <c r="T38" i="19"/>
  <c r="O36" i="19"/>
  <c r="Q36" i="19"/>
  <c r="T36" i="19"/>
  <c r="P36" i="19"/>
  <c r="S36" i="19"/>
  <c r="N36" i="19"/>
  <c r="L36" i="19"/>
  <c r="R36" i="19"/>
  <c r="M36" i="19"/>
  <c r="L34" i="19"/>
  <c r="O34" i="19"/>
  <c r="T34" i="19"/>
  <c r="N34" i="19"/>
  <c r="Q34" i="19"/>
  <c r="R34" i="19"/>
  <c r="M34" i="19"/>
  <c r="S34" i="19"/>
  <c r="P34" i="19"/>
  <c r="T32" i="19"/>
  <c r="S32" i="19"/>
  <c r="R32" i="19"/>
  <c r="Q32" i="19"/>
  <c r="L32" i="19"/>
  <c r="N32" i="19"/>
  <c r="P32" i="19"/>
  <c r="O32" i="19"/>
  <c r="M32" i="19"/>
  <c r="Q37" i="19"/>
  <c r="N37" i="19"/>
  <c r="T37" i="19"/>
  <c r="L37" i="19"/>
  <c r="R37" i="19"/>
  <c r="S37" i="19"/>
  <c r="P37" i="19"/>
  <c r="M37" i="19"/>
  <c r="O37" i="19"/>
  <c r="P47" i="19"/>
  <c r="Q47" i="19"/>
  <c r="T47" i="19"/>
  <c r="R47" i="19"/>
  <c r="M47" i="19"/>
  <c r="S47" i="19"/>
  <c r="O47" i="19"/>
  <c r="N47" i="19"/>
  <c r="L47" i="19"/>
  <c r="T48" i="19"/>
  <c r="N48" i="19"/>
  <c r="Q48" i="19"/>
  <c r="R48" i="19"/>
  <c r="L48" i="19"/>
  <c r="O48" i="19"/>
  <c r="S48" i="19"/>
  <c r="M48" i="19"/>
  <c r="P48" i="19"/>
  <c r="P49" i="19"/>
  <c r="T49" i="19"/>
  <c r="O49" i="19"/>
  <c r="Q49" i="19"/>
  <c r="S49" i="19"/>
  <c r="N49" i="19"/>
  <c r="R49" i="19"/>
  <c r="M49" i="19"/>
  <c r="L49" i="19"/>
  <c r="R41" i="19"/>
  <c r="O41" i="19"/>
  <c r="L41" i="19"/>
  <c r="T41" i="19"/>
  <c r="M41" i="19"/>
  <c r="Q41" i="19"/>
  <c r="P41" i="19"/>
  <c r="S41" i="19"/>
  <c r="N41" i="19"/>
  <c r="O50" i="19"/>
  <c r="N50" i="19"/>
  <c r="L50" i="19"/>
  <c r="S50" i="19"/>
  <c r="R50" i="19"/>
  <c r="Q50" i="19"/>
  <c r="T50" i="19"/>
  <c r="M50" i="19"/>
  <c r="P50" i="19"/>
  <c r="R42" i="19"/>
  <c r="L42" i="19"/>
  <c r="O42" i="19"/>
  <c r="P42" i="19"/>
  <c r="T42" i="19"/>
  <c r="Q42" i="19"/>
  <c r="S42" i="19"/>
  <c r="N42" i="19"/>
  <c r="M42" i="19"/>
  <c r="Q40" i="19"/>
  <c r="S40" i="19"/>
  <c r="R40" i="19"/>
  <c r="L40" i="19"/>
  <c r="P40" i="19"/>
  <c r="M40" i="19"/>
  <c r="O40" i="19"/>
  <c r="T40" i="19"/>
  <c r="N40" i="19"/>
  <c r="N35" i="19"/>
  <c r="P35" i="19"/>
  <c r="L35" i="19"/>
  <c r="R35" i="19"/>
  <c r="T35" i="19"/>
  <c r="S35" i="19"/>
  <c r="Q35" i="19"/>
  <c r="O35" i="19"/>
  <c r="M35" i="19"/>
  <c r="L39" i="19"/>
  <c r="N39" i="19"/>
  <c r="M39" i="19"/>
  <c r="P39" i="19"/>
  <c r="S39" i="19"/>
  <c r="Q39" i="19"/>
  <c r="O39" i="19"/>
  <c r="R39" i="19"/>
  <c r="T39" i="19"/>
  <c r="S31" i="19"/>
  <c r="Q31" i="19"/>
  <c r="P31" i="19"/>
  <c r="O31" i="19"/>
  <c r="R31" i="19"/>
  <c r="L31" i="19"/>
  <c r="T31" i="19"/>
  <c r="N31" i="19"/>
  <c r="M31" i="19"/>
  <c r="S45" i="19"/>
  <c r="M45" i="19"/>
  <c r="Q45" i="19"/>
  <c r="P45" i="19"/>
  <c r="L45" i="19"/>
  <c r="N45" i="19"/>
  <c r="T45" i="19"/>
  <c r="O45" i="19"/>
  <c r="R45" i="19"/>
  <c r="O33" i="19"/>
  <c r="R33" i="19"/>
  <c r="M33" i="19"/>
  <c r="T33" i="19"/>
  <c r="S33" i="19"/>
  <c r="Q33" i="19"/>
  <c r="P33" i="19"/>
  <c r="N33" i="19"/>
  <c r="L33" i="19"/>
  <c r="P43" i="19"/>
  <c r="T43" i="19"/>
  <c r="R43" i="19"/>
  <c r="O43" i="19"/>
  <c r="N43" i="19"/>
  <c r="M43" i="19"/>
  <c r="L43" i="19"/>
  <c r="S43" i="19"/>
  <c r="Q43" i="19"/>
  <c r="P46" i="19"/>
  <c r="M46" i="19"/>
  <c r="T46" i="19"/>
  <c r="R46" i="19"/>
  <c r="O46" i="19"/>
  <c r="Q46" i="19"/>
  <c r="S46" i="19"/>
  <c r="N46" i="19"/>
  <c r="L46" i="19"/>
  <c r="T44" i="19"/>
  <c r="M44" i="19"/>
  <c r="O44" i="19"/>
  <c r="Q44" i="19"/>
  <c r="L44" i="19"/>
  <c r="P44" i="19"/>
  <c r="S44" i="19"/>
  <c r="N44" i="19"/>
  <c r="R44" i="19"/>
  <c r="B31" i="8"/>
  <c r="T31" i="8" s="1"/>
  <c r="C9" i="8"/>
  <c r="C7" i="15"/>
  <c r="C8" i="17"/>
  <c r="C8" i="15"/>
  <c r="AE26" i="16"/>
  <c r="AE24" i="16"/>
  <c r="AB24" i="16"/>
  <c r="AB26" i="16"/>
  <c r="AB22" i="16"/>
  <c r="X54" i="16" s="1"/>
  <c r="E7" i="17"/>
  <c r="E69" i="17" s="1"/>
  <c r="C9" i="17"/>
  <c r="AE22" i="16"/>
  <c r="AA54" i="16" s="1"/>
  <c r="AD62" i="16"/>
  <c r="E7" i="15"/>
  <c r="E69" i="15" s="1"/>
  <c r="G16" i="11"/>
  <c r="B17" i="13"/>
  <c r="C10" i="12" s="1"/>
  <c r="C46" i="12" s="1"/>
  <c r="F74" i="12"/>
  <c r="D65" i="12" s="1"/>
  <c r="D39" i="12"/>
  <c r="C22" i="8"/>
  <c r="D30" i="8"/>
  <c r="D31" i="8"/>
  <c r="D32" i="8"/>
  <c r="C8" i="8"/>
  <c r="B32" i="8"/>
  <c r="T32" i="8" s="1"/>
  <c r="C6" i="8"/>
  <c r="C7" i="8"/>
  <c r="C10" i="8"/>
  <c r="B28" i="8"/>
  <c r="D28" i="8"/>
  <c r="B29" i="8"/>
  <c r="T29" i="8" s="1"/>
  <c r="D29" i="8"/>
  <c r="B30" i="8"/>
  <c r="T30" i="8" s="1"/>
  <c r="L29" i="5"/>
  <c r="X6" i="5"/>
  <c r="K5" i="7"/>
  <c r="J5" i="7" s="1"/>
  <c r="I71" i="10"/>
  <c r="J71" i="10" s="1"/>
  <c r="I70" i="10"/>
  <c r="D70" i="10" s="1"/>
  <c r="I69" i="10"/>
  <c r="B69" i="10" s="1"/>
  <c r="I68" i="10"/>
  <c r="F68" i="10" s="1"/>
  <c r="I67" i="10"/>
  <c r="B67" i="10" s="1"/>
  <c r="I66" i="10"/>
  <c r="J66" i="10" s="1"/>
  <c r="I65" i="10"/>
  <c r="F65" i="10" s="1"/>
  <c r="I64" i="10"/>
  <c r="J64" i="10" s="1"/>
  <c r="I63" i="10"/>
  <c r="J63" i="10" s="1"/>
  <c r="I62" i="10"/>
  <c r="D62" i="10" s="1"/>
  <c r="I61" i="10"/>
  <c r="B61" i="10" s="1"/>
  <c r="I60" i="10"/>
  <c r="F60" i="10" s="1"/>
  <c r="I59" i="10"/>
  <c r="B59" i="10" s="1"/>
  <c r="I58" i="10"/>
  <c r="J58" i="10" s="1"/>
  <c r="I55" i="10"/>
  <c r="B55" i="10" s="1"/>
  <c r="I53" i="10"/>
  <c r="B53" i="10" s="1"/>
  <c r="I24" i="10"/>
  <c r="I25" i="10"/>
  <c r="I26" i="10" s="1"/>
  <c r="C56" i="10"/>
  <c r="D54" i="10"/>
  <c r="F52" i="10"/>
  <c r="F57" i="10"/>
  <c r="E54" i="10"/>
  <c r="F54" i="10"/>
  <c r="A52" i="10"/>
  <c r="B52" i="10"/>
  <c r="C52" i="10"/>
  <c r="A57" i="10"/>
  <c r="B57" i="10"/>
  <c r="E52" i="10"/>
  <c r="A54" i="10"/>
  <c r="C57" i="10"/>
  <c r="B54" i="10"/>
  <c r="D57" i="10"/>
  <c r="C54" i="10"/>
  <c r="E57" i="10"/>
  <c r="K48" i="5"/>
  <c r="J47" i="5"/>
  <c r="K46" i="5"/>
  <c r="J45" i="5"/>
  <c r="J44" i="5"/>
  <c r="K43" i="5"/>
  <c r="K42" i="5"/>
  <c r="K41" i="5"/>
  <c r="K40" i="5"/>
  <c r="K39" i="5"/>
  <c r="K38" i="5"/>
  <c r="K37" i="5"/>
  <c r="J36" i="5"/>
  <c r="K35" i="5"/>
  <c r="K34" i="5"/>
  <c r="K33" i="5"/>
  <c r="K32" i="5"/>
  <c r="K31" i="5"/>
  <c r="K30" i="5"/>
  <c r="B79" i="3"/>
  <c r="S25" i="5"/>
  <c r="S24" i="5"/>
  <c r="S23" i="5"/>
  <c r="S22" i="5"/>
  <c r="S21" i="5"/>
  <c r="S20" i="5"/>
  <c r="S19" i="5"/>
  <c r="S18" i="5"/>
  <c r="S17" i="5"/>
  <c r="S16" i="5"/>
  <c r="S15" i="5"/>
  <c r="S14" i="5"/>
  <c r="S13" i="5"/>
  <c r="S12" i="5"/>
  <c r="S11" i="5"/>
  <c r="S10" i="5"/>
  <c r="S9" i="5"/>
  <c r="S8" i="5"/>
  <c r="S7" i="5"/>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P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T11" i="7"/>
  <c r="T10" i="7"/>
  <c r="T9" i="7"/>
  <c r="T8" i="7"/>
  <c r="T7" i="7"/>
  <c r="T6" i="7"/>
  <c r="Q6" i="5"/>
  <c r="C32" i="8" s="1"/>
  <c r="N6" i="5"/>
  <c r="K6" i="5"/>
  <c r="C30" i="8" s="1"/>
  <c r="H6" i="5"/>
  <c r="AH39" i="5"/>
  <c r="AI39" i="5" s="1"/>
  <c r="AH43" i="5"/>
  <c r="AI43" i="5" s="1"/>
  <c r="AH42" i="5"/>
  <c r="AI42" i="5" s="1"/>
  <c r="AH30" i="5"/>
  <c r="AI30" i="5" s="1"/>
  <c r="AH34" i="5"/>
  <c r="AI34" i="5" s="1"/>
  <c r="AH44" i="5"/>
  <c r="AI44" i="5" s="1"/>
  <c r="AH36" i="5"/>
  <c r="AI36" i="5" s="1"/>
  <c r="AH41" i="5"/>
  <c r="AI41" i="5" s="1"/>
  <c r="AH45" i="5"/>
  <c r="AI45" i="5" s="1"/>
  <c r="AH31" i="5"/>
  <c r="AI31" i="5" s="1"/>
  <c r="AH40" i="5"/>
  <c r="AI40" i="5" s="1"/>
  <c r="AH29" i="5"/>
  <c r="AI29" i="5" s="1"/>
  <c r="AH46" i="5"/>
  <c r="AI46" i="5" s="1"/>
  <c r="F83" i="3"/>
  <c r="AH28" i="5"/>
  <c r="AI28" i="5" s="1"/>
  <c r="AH35" i="5"/>
  <c r="AI35" i="5" s="1"/>
  <c r="AH32" i="5"/>
  <c r="AI32" i="5" s="1"/>
  <c r="AH33" i="5"/>
  <c r="AI33" i="5" s="1"/>
  <c r="AH37" i="5"/>
  <c r="AI37" i="5" s="1"/>
  <c r="AH38" i="5"/>
  <c r="AI38" i="5" s="1"/>
  <c r="F80" i="3"/>
  <c r="F81" i="3"/>
  <c r="F82" i="3"/>
  <c r="X33" i="19"/>
  <c r="X34" i="19"/>
  <c r="P186" i="19"/>
  <c r="X49" i="19"/>
  <c r="X36" i="19"/>
  <c r="X50" i="19"/>
  <c r="X40" i="19"/>
  <c r="X44" i="19"/>
  <c r="X39" i="19"/>
  <c r="X46" i="19"/>
  <c r="X42" i="19"/>
  <c r="X35" i="19"/>
  <c r="P182" i="19"/>
  <c r="X45" i="19"/>
  <c r="X43" i="19"/>
  <c r="X37" i="19"/>
  <c r="P184" i="19"/>
  <c r="R40" i="14"/>
  <c r="X31" i="19"/>
  <c r="X48" i="19"/>
  <c r="P183" i="19"/>
  <c r="P185" i="19"/>
  <c r="X47" i="19"/>
  <c r="X38" i="19"/>
  <c r="P181" i="19"/>
  <c r="X32" i="19"/>
  <c r="X41" i="19"/>
  <c r="J104" i="19"/>
  <c r="J96" i="19"/>
  <c r="J107" i="19"/>
  <c r="J94" i="19"/>
  <c r="J103" i="19"/>
  <c r="J91" i="19"/>
  <c r="J99" i="19"/>
  <c r="J92" i="19"/>
  <c r="J100" i="19"/>
  <c r="J101" i="19"/>
  <c r="J106" i="19"/>
  <c r="J97" i="19"/>
  <c r="J93" i="19"/>
  <c r="J98" i="19"/>
  <c r="J110" i="19"/>
  <c r="J105" i="19"/>
  <c r="J109" i="19"/>
  <c r="J95" i="19"/>
  <c r="H107" i="19" l="1"/>
  <c r="I107" i="19"/>
  <c r="I94" i="19"/>
  <c r="H94" i="19"/>
  <c r="I110" i="19"/>
  <c r="H110" i="19"/>
  <c r="I105" i="19"/>
  <c r="H105" i="19"/>
  <c r="H91" i="19"/>
  <c r="I91" i="19"/>
  <c r="H99" i="19"/>
  <c r="I99" i="19"/>
  <c r="H92" i="19"/>
  <c r="I92" i="19"/>
  <c r="I100" i="19"/>
  <c r="H100" i="19"/>
  <c r="I95" i="19"/>
  <c r="H95" i="19"/>
  <c r="I103" i="19"/>
  <c r="H103" i="19"/>
  <c r="I97" i="19"/>
  <c r="H97" i="19"/>
  <c r="I93" i="19"/>
  <c r="H93" i="19"/>
  <c r="I101" i="19"/>
  <c r="H101" i="19"/>
  <c r="I109" i="19"/>
  <c r="H109" i="19"/>
  <c r="I106" i="19"/>
  <c r="H106" i="19"/>
  <c r="I98" i="19"/>
  <c r="H98" i="19"/>
  <c r="I96" i="19"/>
  <c r="H96" i="19"/>
  <c r="I104" i="19"/>
  <c r="H104" i="19"/>
  <c r="J29" i="5"/>
  <c r="Y6" i="5"/>
  <c r="I25" i="8"/>
  <c r="C38" i="8"/>
  <c r="C37" i="8"/>
  <c r="C36" i="8"/>
  <c r="C35" i="8"/>
  <c r="C34" i="8"/>
  <c r="G27" i="24"/>
  <c r="E29" i="24"/>
  <c r="F34" i="24" s="1"/>
  <c r="E42" i="24" s="1"/>
  <c r="C44" i="24" s="1"/>
  <c r="C45" i="24" s="1"/>
  <c r="E46" i="24" s="1"/>
  <c r="P12" i="20"/>
  <c r="L19" i="2"/>
  <c r="N184" i="19"/>
  <c r="N12" i="20" s="1"/>
  <c r="L17" i="2"/>
  <c r="N182" i="19"/>
  <c r="N10" i="20" s="1"/>
  <c r="P10" i="20"/>
  <c r="P11" i="20"/>
  <c r="L18" i="2"/>
  <c r="N183" i="19"/>
  <c r="N11" i="20" s="1"/>
  <c r="N181" i="19"/>
  <c r="J16" i="2" s="1"/>
  <c r="P9" i="20"/>
  <c r="L16" i="2"/>
  <c r="P13" i="20"/>
  <c r="P14" i="20"/>
  <c r="P95" i="22"/>
  <c r="T95" i="22" s="1"/>
  <c r="O95" i="22"/>
  <c r="N95" i="22"/>
  <c r="L95" i="22"/>
  <c r="V95" i="22" s="1"/>
  <c r="S95" i="22"/>
  <c r="U95" i="22" s="1"/>
  <c r="C96" i="22" s="1"/>
  <c r="R95" i="22"/>
  <c r="Q95" i="22"/>
  <c r="M95" i="22"/>
  <c r="L21" i="2"/>
  <c r="N186" i="19"/>
  <c r="L20" i="2"/>
  <c r="N185" i="19"/>
  <c r="G101" i="19"/>
  <c r="D101" i="19"/>
  <c r="C101" i="19"/>
  <c r="E101" i="19"/>
  <c r="B101" i="19"/>
  <c r="F101" i="19"/>
  <c r="D99" i="19"/>
  <c r="C99" i="19"/>
  <c r="B99" i="19"/>
  <c r="G99" i="19"/>
  <c r="F99" i="19"/>
  <c r="E99" i="19"/>
  <c r="G107" i="19"/>
  <c r="F107" i="19"/>
  <c r="E107" i="19"/>
  <c r="D107" i="19"/>
  <c r="C107" i="19"/>
  <c r="B107" i="19"/>
  <c r="E103" i="19"/>
  <c r="C103" i="19"/>
  <c r="G103" i="19"/>
  <c r="F103" i="19"/>
  <c r="D103" i="19"/>
  <c r="B103" i="19"/>
  <c r="E96" i="19"/>
  <c r="D96" i="19"/>
  <c r="C96" i="19"/>
  <c r="B96" i="19"/>
  <c r="G96" i="19"/>
  <c r="F96" i="19"/>
  <c r="G106" i="19"/>
  <c r="F106" i="19"/>
  <c r="E106" i="19"/>
  <c r="D106" i="19"/>
  <c r="C106" i="19"/>
  <c r="B106" i="19"/>
  <c r="G98" i="19"/>
  <c r="F98" i="19"/>
  <c r="E98" i="19"/>
  <c r="C98" i="19"/>
  <c r="B98" i="19"/>
  <c r="D98" i="19"/>
  <c r="C94" i="19"/>
  <c r="F94" i="19"/>
  <c r="G94" i="19"/>
  <c r="E94" i="19"/>
  <c r="D94" i="19"/>
  <c r="B94" i="19"/>
  <c r="G110" i="19"/>
  <c r="F110" i="19"/>
  <c r="E110" i="19"/>
  <c r="D110" i="19"/>
  <c r="C110" i="19"/>
  <c r="B110" i="19"/>
  <c r="B97" i="19"/>
  <c r="E97" i="19"/>
  <c r="G97" i="19"/>
  <c r="F97" i="19"/>
  <c r="D97" i="19"/>
  <c r="C97" i="19"/>
  <c r="F91" i="19"/>
  <c r="D91" i="19"/>
  <c r="G91" i="19"/>
  <c r="E91" i="19"/>
  <c r="C91" i="19"/>
  <c r="B91" i="19"/>
  <c r="G92" i="19"/>
  <c r="F92" i="19"/>
  <c r="E92" i="19"/>
  <c r="D92" i="19"/>
  <c r="C92" i="19"/>
  <c r="B92" i="19"/>
  <c r="AD60" i="16"/>
  <c r="AD58" i="16"/>
  <c r="AD56" i="16"/>
  <c r="R73" i="16"/>
  <c r="C13" i="17"/>
  <c r="X60" i="16"/>
  <c r="X58" i="16"/>
  <c r="AD54" i="16"/>
  <c r="X56" i="16"/>
  <c r="AA60" i="16"/>
  <c r="AA56" i="16"/>
  <c r="AA58" i="16"/>
  <c r="AD64" i="16"/>
  <c r="AB203" i="17"/>
  <c r="I24" i="17"/>
  <c r="AB202" i="17"/>
  <c r="A342" i="17"/>
  <c r="R30" i="17"/>
  <c r="T45" i="17" s="1"/>
  <c r="E32" i="17"/>
  <c r="T48" i="17"/>
  <c r="R31" i="17"/>
  <c r="T46" i="17" s="1"/>
  <c r="E31" i="17"/>
  <c r="S40" i="17"/>
  <c r="E30" i="17"/>
  <c r="R29" i="17"/>
  <c r="T44" i="17" s="1"/>
  <c r="E29" i="17"/>
  <c r="R28" i="17"/>
  <c r="T43" i="17" s="1"/>
  <c r="R32" i="17"/>
  <c r="T47" i="17" s="1"/>
  <c r="E28" i="17"/>
  <c r="S32" i="15"/>
  <c r="C31" i="8"/>
  <c r="U31" i="8" s="1"/>
  <c r="A342" i="15"/>
  <c r="T48" i="15"/>
  <c r="S40" i="15"/>
  <c r="C29" i="8"/>
  <c r="S29" i="8" s="1"/>
  <c r="AB202" i="15"/>
  <c r="AB203" i="15"/>
  <c r="G17" i="11"/>
  <c r="AB202" i="8"/>
  <c r="C9" i="11"/>
  <c r="C17" i="8"/>
  <c r="G12" i="11"/>
  <c r="C40" i="12"/>
  <c r="D52" i="10"/>
  <c r="J52" i="10" s="1"/>
  <c r="BB10" i="8"/>
  <c r="BB12" i="8"/>
  <c r="BB13" i="8"/>
  <c r="BB24" i="8"/>
  <c r="BB14" i="8"/>
  <c r="BB23" i="8"/>
  <c r="BB25" i="8"/>
  <c r="BB8" i="8"/>
  <c r="BB22" i="8"/>
  <c r="BB16" i="8"/>
  <c r="BB20" i="8"/>
  <c r="BB21" i="8"/>
  <c r="BB7" i="8"/>
  <c r="BB9" i="8"/>
  <c r="BB11" i="8"/>
  <c r="BB19" i="8"/>
  <c r="BB15" i="8"/>
  <c r="BB18" i="8"/>
  <c r="BB17" i="8"/>
  <c r="F72" i="12"/>
  <c r="C3" i="10"/>
  <c r="I24" i="8"/>
  <c r="AA202" i="8"/>
  <c r="T48" i="8"/>
  <c r="AA201" i="8"/>
  <c r="S40" i="8"/>
  <c r="C70" i="8"/>
  <c r="AB203" i="8"/>
  <c r="A342" i="8"/>
  <c r="G14" i="11"/>
  <c r="C41" i="8"/>
  <c r="C40" i="8"/>
  <c r="C63" i="8"/>
  <c r="G15" i="11"/>
  <c r="K29" i="5"/>
  <c r="S6" i="5" s="1"/>
  <c r="Q5" i="7"/>
  <c r="R5" i="7"/>
  <c r="A70" i="10"/>
  <c r="F69" i="10"/>
  <c r="E69" i="10"/>
  <c r="J69" i="10"/>
  <c r="H69" i="10" s="1"/>
  <c r="A69" i="10"/>
  <c r="C69" i="10"/>
  <c r="P66" i="10"/>
  <c r="B70" i="10"/>
  <c r="E70" i="10"/>
  <c r="C67" i="10"/>
  <c r="C70" i="10"/>
  <c r="F67" i="10"/>
  <c r="A67" i="10"/>
  <c r="P70" i="10"/>
  <c r="F70" i="10"/>
  <c r="J67" i="10"/>
  <c r="H67" i="10" s="1"/>
  <c r="J70" i="10"/>
  <c r="H70" i="10" s="1"/>
  <c r="D66" i="10"/>
  <c r="A71" i="10"/>
  <c r="F71" i="10"/>
  <c r="B71" i="10"/>
  <c r="C71" i="10"/>
  <c r="B66" i="10"/>
  <c r="A66" i="10"/>
  <c r="D68" i="10"/>
  <c r="P67" i="10"/>
  <c r="E71" i="10"/>
  <c r="P71" i="10"/>
  <c r="D71" i="10"/>
  <c r="G71" i="10"/>
  <c r="H71" i="10"/>
  <c r="F66" i="10"/>
  <c r="D69" i="10"/>
  <c r="D65" i="10"/>
  <c r="E66" i="10"/>
  <c r="C68" i="10"/>
  <c r="B68" i="10"/>
  <c r="J68" i="10"/>
  <c r="H68" i="10" s="1"/>
  <c r="P68" i="10"/>
  <c r="A68" i="10"/>
  <c r="E68" i="10"/>
  <c r="P69" i="10"/>
  <c r="P61" i="10"/>
  <c r="F64" i="10"/>
  <c r="E67" i="10"/>
  <c r="A65" i="10"/>
  <c r="F63" i="10"/>
  <c r="J61" i="10"/>
  <c r="H61" i="10" s="1"/>
  <c r="J62" i="10"/>
  <c r="H62" i="10" s="1"/>
  <c r="E61" i="10"/>
  <c r="B62" i="10"/>
  <c r="A61" i="10"/>
  <c r="F62" i="10"/>
  <c r="C65" i="10"/>
  <c r="C66" i="10"/>
  <c r="D67" i="10"/>
  <c r="A62" i="10"/>
  <c r="E62" i="10"/>
  <c r="G66" i="10"/>
  <c r="H66" i="10"/>
  <c r="D61" i="10"/>
  <c r="P62" i="10"/>
  <c r="E65" i="10"/>
  <c r="C62" i="10"/>
  <c r="B65" i="10"/>
  <c r="B64" i="10"/>
  <c r="A64" i="10"/>
  <c r="C63" i="10"/>
  <c r="B63" i="10"/>
  <c r="C61" i="10"/>
  <c r="F61" i="10"/>
  <c r="C64" i="10"/>
  <c r="D64" i="10"/>
  <c r="P63" i="10"/>
  <c r="A63" i="10"/>
  <c r="P64" i="10"/>
  <c r="E63" i="10"/>
  <c r="J65" i="10"/>
  <c r="G65" i="10" s="1"/>
  <c r="P65" i="10"/>
  <c r="E64" i="10"/>
  <c r="D63" i="10"/>
  <c r="H64" i="10"/>
  <c r="G64" i="10"/>
  <c r="E60" i="10"/>
  <c r="H63" i="10"/>
  <c r="G63" i="10"/>
  <c r="C55" i="10"/>
  <c r="E55" i="10"/>
  <c r="D55" i="10"/>
  <c r="E58" i="10"/>
  <c r="P59" i="10"/>
  <c r="D60" i="10"/>
  <c r="J60" i="10"/>
  <c r="H60" i="10" s="1"/>
  <c r="P60" i="10"/>
  <c r="A60" i="10"/>
  <c r="D59" i="10"/>
  <c r="C60" i="10"/>
  <c r="C59" i="10"/>
  <c r="F59" i="10"/>
  <c r="D58" i="10"/>
  <c r="P58" i="10"/>
  <c r="B60" i="10"/>
  <c r="J59" i="10"/>
  <c r="H59" i="10" s="1"/>
  <c r="C53" i="10"/>
  <c r="A53" i="10"/>
  <c r="E59" i="10"/>
  <c r="C58" i="10"/>
  <c r="A59" i="10"/>
  <c r="B58" i="10"/>
  <c r="A58" i="10"/>
  <c r="F58" i="10"/>
  <c r="E53" i="10"/>
  <c r="F53" i="10"/>
  <c r="H58" i="10"/>
  <c r="G58" i="10"/>
  <c r="D53" i="10"/>
  <c r="A55" i="10"/>
  <c r="F55" i="10"/>
  <c r="D56" i="10"/>
  <c r="B56" i="10"/>
  <c r="A56" i="10"/>
  <c r="P56" i="10" s="1"/>
  <c r="J54" i="10"/>
  <c r="H54" i="10" s="1"/>
  <c r="J57" i="10"/>
  <c r="H57" i="10" s="1"/>
  <c r="P57" i="10"/>
  <c r="E56" i="10"/>
  <c r="F56" i="10"/>
  <c r="J55" i="10"/>
  <c r="H55" i="10" s="1"/>
  <c r="P55" i="10"/>
  <c r="P54" i="10"/>
  <c r="J53" i="10"/>
  <c r="H53" i="10" s="1"/>
  <c r="P53" i="10"/>
  <c r="P52" i="10"/>
  <c r="U32" i="8"/>
  <c r="E30" i="8"/>
  <c r="S30" i="8"/>
  <c r="R30" i="8"/>
  <c r="T45" i="8" s="1"/>
  <c r="E32" i="8"/>
  <c r="S32" i="8"/>
  <c r="R32" i="8"/>
  <c r="T47" i="8" s="1"/>
  <c r="U30" i="8"/>
  <c r="J102" i="19"/>
  <c r="P112" i="11"/>
  <c r="P40" i="11"/>
  <c r="P43" i="11"/>
  <c r="P113" i="11"/>
  <c r="Q40" i="11"/>
  <c r="J108" i="19"/>
  <c r="P44" i="11"/>
  <c r="P46" i="11"/>
  <c r="Q44" i="11"/>
  <c r="P111" i="11"/>
  <c r="P42" i="11"/>
  <c r="P114" i="11"/>
  <c r="P117" i="11"/>
  <c r="P41" i="11"/>
  <c r="P115" i="11"/>
  <c r="P110" i="11"/>
  <c r="P116" i="11"/>
  <c r="A119" i="11"/>
  <c r="P47" i="11"/>
  <c r="P45" i="11"/>
  <c r="D102" i="19" l="1"/>
  <c r="I102" i="19"/>
  <c r="H102" i="19"/>
  <c r="B102" i="19"/>
  <c r="F102" i="19"/>
  <c r="C102" i="19"/>
  <c r="G102" i="19"/>
  <c r="E102" i="19"/>
  <c r="I108" i="19"/>
  <c r="H108" i="19"/>
  <c r="B105" i="19"/>
  <c r="G105" i="19"/>
  <c r="F105" i="19"/>
  <c r="E105" i="19"/>
  <c r="D105" i="19"/>
  <c r="C105" i="19"/>
  <c r="G95" i="19"/>
  <c r="D95" i="19"/>
  <c r="E95" i="19"/>
  <c r="F95" i="19"/>
  <c r="B95" i="19"/>
  <c r="C95" i="19"/>
  <c r="F93" i="19"/>
  <c r="E93" i="19"/>
  <c r="D93" i="19"/>
  <c r="C93" i="19"/>
  <c r="B93" i="19"/>
  <c r="G93" i="19"/>
  <c r="I46" i="24"/>
  <c r="D46" i="24"/>
  <c r="G100" i="19"/>
  <c r="E100" i="19"/>
  <c r="D100" i="19"/>
  <c r="C100" i="19"/>
  <c r="B100" i="19"/>
  <c r="F100" i="19"/>
  <c r="J19" i="2"/>
  <c r="J18" i="2"/>
  <c r="D109" i="19"/>
  <c r="F109" i="19"/>
  <c r="E109" i="19"/>
  <c r="C109" i="19"/>
  <c r="B109" i="19"/>
  <c r="G109" i="19"/>
  <c r="J17" i="2"/>
  <c r="E104" i="19"/>
  <c r="D104" i="19"/>
  <c r="C104" i="19"/>
  <c r="B104" i="19"/>
  <c r="G104" i="19"/>
  <c r="F104" i="19"/>
  <c r="N9" i="20"/>
  <c r="G108" i="19"/>
  <c r="E108" i="19"/>
  <c r="C108" i="19"/>
  <c r="D108" i="19"/>
  <c r="B108" i="19"/>
  <c r="F108" i="19"/>
  <c r="J20" i="2"/>
  <c r="N13" i="20"/>
  <c r="J21" i="2"/>
  <c r="N14" i="20"/>
  <c r="W95" i="22"/>
  <c r="X95" i="22" s="1"/>
  <c r="B96" i="22"/>
  <c r="D96" i="22" s="1"/>
  <c r="E96" i="22" s="1"/>
  <c r="F96" i="22" s="1"/>
  <c r="G96" i="22" s="1"/>
  <c r="H96" i="22" s="1"/>
  <c r="K36" i="11"/>
  <c r="G87" i="11"/>
  <c r="G35" i="11"/>
  <c r="G86" i="11"/>
  <c r="K33" i="11"/>
  <c r="G85" i="11"/>
  <c r="C69" i="8" s="1"/>
  <c r="K30" i="11"/>
  <c r="G84" i="11"/>
  <c r="G83" i="11"/>
  <c r="G82" i="11"/>
  <c r="K74" i="11"/>
  <c r="K72" i="11"/>
  <c r="K63" i="11"/>
  <c r="K56" i="11"/>
  <c r="G56" i="11"/>
  <c r="G55" i="11"/>
  <c r="G53" i="11"/>
  <c r="K51" i="11"/>
  <c r="K38" i="11"/>
  <c r="N78" i="11"/>
  <c r="C69" i="11"/>
  <c r="F52" i="11"/>
  <c r="J34" i="11"/>
  <c r="N77" i="11"/>
  <c r="G44" i="11"/>
  <c r="C51" i="8" s="1"/>
  <c r="K78" i="11"/>
  <c r="G68" i="11"/>
  <c r="N33" i="11"/>
  <c r="I44" i="11"/>
  <c r="O77" i="11"/>
  <c r="G67" i="11"/>
  <c r="N45" i="11"/>
  <c r="N44" i="11"/>
  <c r="K76" i="11"/>
  <c r="C70" i="11"/>
  <c r="K87" i="11"/>
  <c r="N59" i="11"/>
  <c r="N41" i="11"/>
  <c r="F31" i="11"/>
  <c r="J87" i="11"/>
  <c r="D71" i="11"/>
  <c r="K58" i="11"/>
  <c r="C66" i="8" s="1"/>
  <c r="N40" i="11"/>
  <c r="F70" i="11"/>
  <c r="I40" i="11"/>
  <c r="N85" i="11"/>
  <c r="N69" i="11"/>
  <c r="G54" i="11"/>
  <c r="C64" i="8" s="1"/>
  <c r="K69" i="11"/>
  <c r="I38" i="11"/>
  <c r="J69" i="11"/>
  <c r="O52" i="11"/>
  <c r="G38" i="11"/>
  <c r="I69" i="11"/>
  <c r="N52" i="11"/>
  <c r="O69" i="11"/>
  <c r="O78" i="11"/>
  <c r="F69" i="11"/>
  <c r="J52" i="11"/>
  <c r="G66" i="11"/>
  <c r="G33" i="11"/>
  <c r="N88" i="11"/>
  <c r="G65" i="11"/>
  <c r="E32" i="11"/>
  <c r="N87" i="11"/>
  <c r="K31" i="11"/>
  <c r="G40" i="11"/>
  <c r="C52" i="8" s="1"/>
  <c r="N38" i="11"/>
  <c r="Y4" i="11"/>
  <c r="AB5" i="11" s="1"/>
  <c r="G29" i="11"/>
  <c r="O59" i="11" s="1"/>
  <c r="G24" i="16"/>
  <c r="E9" i="17" s="1"/>
  <c r="AA79" i="16"/>
  <c r="G23" i="16"/>
  <c r="E8" i="17" s="1"/>
  <c r="X79" i="16"/>
  <c r="AD68" i="16"/>
  <c r="R23" i="16"/>
  <c r="C13" i="15"/>
  <c r="U32" i="15"/>
  <c r="R32" i="15"/>
  <c r="T47" i="15" s="1"/>
  <c r="E32" i="15"/>
  <c r="E31" i="8"/>
  <c r="R31" i="8"/>
  <c r="T46" i="8" s="1"/>
  <c r="U30" i="15"/>
  <c r="S31" i="8"/>
  <c r="U29" i="8"/>
  <c r="E29" i="15"/>
  <c r="S29" i="15"/>
  <c r="R29" i="15"/>
  <c r="T44" i="15" s="1"/>
  <c r="AD3" i="11"/>
  <c r="E31" i="15"/>
  <c r="R31" i="15"/>
  <c r="T46" i="15" s="1"/>
  <c r="S31" i="15"/>
  <c r="U31" i="15"/>
  <c r="C26" i="8"/>
  <c r="E29" i="8"/>
  <c r="R29" i="8"/>
  <c r="T44" i="8" s="1"/>
  <c r="S30" i="15"/>
  <c r="R30" i="15"/>
  <c r="T45" i="15" s="1"/>
  <c r="E30" i="15"/>
  <c r="U29" i="15"/>
  <c r="AF10" i="11"/>
  <c r="AE11" i="11" s="1"/>
  <c r="AO2" i="11"/>
  <c r="AD13" i="11"/>
  <c r="AC14" i="11"/>
  <c r="AD16" i="11"/>
  <c r="AS2" i="11" s="1"/>
  <c r="AV2" i="11" s="1"/>
  <c r="AY2" i="11" s="1"/>
  <c r="AC13" i="11"/>
  <c r="BD2" i="11" s="1"/>
  <c r="AC17" i="11"/>
  <c r="AD17" i="11"/>
  <c r="AL6" i="11"/>
  <c r="AL7" i="11" s="1"/>
  <c r="AL8" i="11" s="1"/>
  <c r="AL9" i="11" s="1"/>
  <c r="AL10" i="11" s="1"/>
  <c r="AL11" i="11" s="1"/>
  <c r="AL12" i="11" s="1"/>
  <c r="AL13" i="11" s="1"/>
  <c r="AL14" i="11" s="1"/>
  <c r="AL15" i="11" s="1"/>
  <c r="AL16" i="11" s="1"/>
  <c r="C13" i="8"/>
  <c r="F63" i="12"/>
  <c r="F64" i="12"/>
  <c r="E24" i="12"/>
  <c r="F27" i="12" s="1"/>
  <c r="G27" i="12" s="1"/>
  <c r="F62" i="12"/>
  <c r="F67" i="12"/>
  <c r="F69" i="12" s="1"/>
  <c r="F66" i="12"/>
  <c r="C16" i="10"/>
  <c r="C18" i="10" s="1"/>
  <c r="C19" i="10" s="1"/>
  <c r="F68" i="12"/>
  <c r="F70" i="12" s="1"/>
  <c r="E111" i="11"/>
  <c r="E112" i="11"/>
  <c r="E110" i="11"/>
  <c r="E117" i="11"/>
  <c r="C44" i="8"/>
  <c r="E113" i="11"/>
  <c r="E116" i="11"/>
  <c r="E115" i="11"/>
  <c r="E114" i="11"/>
  <c r="Y16" i="11"/>
  <c r="AR20" i="11" s="1"/>
  <c r="Y15" i="11"/>
  <c r="AR19" i="11" s="1"/>
  <c r="Z14" i="11"/>
  <c r="AS18" i="11" s="1"/>
  <c r="Z15" i="11"/>
  <c r="AS19" i="11" s="1"/>
  <c r="Z4" i="11"/>
  <c r="AA6" i="11" s="1"/>
  <c r="AA15" i="11"/>
  <c r="AA16" i="11" s="1"/>
  <c r="AB15" i="11" s="1"/>
  <c r="P5" i="7"/>
  <c r="E6" i="5" s="1"/>
  <c r="T5" i="7"/>
  <c r="T28" i="8"/>
  <c r="G69" i="10"/>
  <c r="G68" i="10"/>
  <c r="G70" i="10"/>
  <c r="G67" i="10"/>
  <c r="G61" i="10"/>
  <c r="H65" i="10"/>
  <c r="G62" i="10"/>
  <c r="G60" i="10"/>
  <c r="G59" i="10"/>
  <c r="J56" i="10"/>
  <c r="H56" i="10" s="1"/>
  <c r="I27" i="10"/>
  <c r="G55" i="10"/>
  <c r="G53" i="10"/>
  <c r="G54" i="10"/>
  <c r="G57" i="10"/>
  <c r="H52" i="10"/>
  <c r="G52" i="10"/>
  <c r="J36" i="2" l="1"/>
  <c r="E38" i="2" s="1"/>
  <c r="B5" i="2" s="1"/>
  <c r="C14" i="10" s="1"/>
  <c r="K96" i="22"/>
  <c r="I96" i="22"/>
  <c r="J96" i="22" s="1"/>
  <c r="AE3" i="11"/>
  <c r="AB6" i="11"/>
  <c r="G24" i="14"/>
  <c r="E9" i="15" s="1"/>
  <c r="G23" i="14"/>
  <c r="S38" i="15"/>
  <c r="AD66" i="16"/>
  <c r="AD70" i="16" s="1"/>
  <c r="C69" i="16"/>
  <c r="C45" i="17"/>
  <c r="G65" i="16"/>
  <c r="C67" i="17"/>
  <c r="AJ6" i="18"/>
  <c r="G38" i="16"/>
  <c r="K63" i="16"/>
  <c r="C49" i="17"/>
  <c r="Q56" i="18"/>
  <c r="BH3" i="18"/>
  <c r="BK12" i="18"/>
  <c r="C56" i="17"/>
  <c r="AR11" i="18"/>
  <c r="T35" i="17"/>
  <c r="AK4" i="18"/>
  <c r="S37" i="17"/>
  <c r="AR13" i="18"/>
  <c r="C57" i="17"/>
  <c r="N45" i="16"/>
  <c r="I65" i="17"/>
  <c r="AR8" i="18"/>
  <c r="E114" i="16"/>
  <c r="BG9" i="18"/>
  <c r="BO2" i="18"/>
  <c r="U46" i="17"/>
  <c r="BM2" i="18"/>
  <c r="U42" i="17"/>
  <c r="BA6" i="18"/>
  <c r="C65" i="17"/>
  <c r="AL5" i="18"/>
  <c r="I51" i="17"/>
  <c r="B95" i="17" s="1"/>
  <c r="D95" i="17" s="1"/>
  <c r="E95" i="17" s="1"/>
  <c r="F95" i="17" s="1"/>
  <c r="G95" i="17" s="1"/>
  <c r="H95" i="17" s="1"/>
  <c r="K95" i="17" s="1"/>
  <c r="O59" i="18"/>
  <c r="P112" i="18"/>
  <c r="AM10" i="18"/>
  <c r="G86" i="16"/>
  <c r="Q55" i="18"/>
  <c r="Y4" i="18"/>
  <c r="E116" i="16"/>
  <c r="AS12" i="18"/>
  <c r="AL13" i="18"/>
  <c r="BD15" i="18"/>
  <c r="E110" i="16"/>
  <c r="BB13" i="18"/>
  <c r="N77" i="16"/>
  <c r="C59" i="17"/>
  <c r="Q53" i="18"/>
  <c r="AR15" i="18"/>
  <c r="K56" i="16"/>
  <c r="U48" i="17"/>
  <c r="Q52" i="18"/>
  <c r="BH4" i="18"/>
  <c r="K58" i="16"/>
  <c r="N40" i="16"/>
  <c r="AF17" i="18"/>
  <c r="BE14" i="18"/>
  <c r="K33" i="16"/>
  <c r="I72" i="17"/>
  <c r="AX15" i="18"/>
  <c r="BH7" i="18"/>
  <c r="N41" i="16"/>
  <c r="C60" i="17"/>
  <c r="AC13" i="18"/>
  <c r="BD16" i="18"/>
  <c r="AA201" i="17"/>
  <c r="T39" i="17"/>
  <c r="P111" i="18"/>
  <c r="BJ14" i="18"/>
  <c r="BB9" i="18"/>
  <c r="AF10" i="18"/>
  <c r="S35" i="17"/>
  <c r="P113" i="18"/>
  <c r="AL6" i="18"/>
  <c r="AC16" i="18"/>
  <c r="BK7" i="18"/>
  <c r="BK15" i="18"/>
  <c r="BA2" i="18"/>
  <c r="R40" i="17"/>
  <c r="G84" i="16"/>
  <c r="U45" i="17"/>
  <c r="C20" i="17"/>
  <c r="Q57" i="18"/>
  <c r="BC2" i="18"/>
  <c r="BK14" i="18"/>
  <c r="AU5" i="18"/>
  <c r="BD12" i="18"/>
  <c r="AX14" i="18"/>
  <c r="G67" i="16"/>
  <c r="S38" i="17"/>
  <c r="C22" i="17"/>
  <c r="Q19" i="18"/>
  <c r="AE16" i="18"/>
  <c r="AL12" i="18"/>
  <c r="AI4" i="18"/>
  <c r="Z14" i="18"/>
  <c r="AP3" i="18"/>
  <c r="T40" i="17"/>
  <c r="K30" i="16"/>
  <c r="J87" i="16"/>
  <c r="S39" i="17"/>
  <c r="C66" i="17"/>
  <c r="Q17" i="18"/>
  <c r="AS18" i="18"/>
  <c r="BK4" i="18"/>
  <c r="AW2" i="18"/>
  <c r="BM10" i="18"/>
  <c r="BE2" i="18"/>
  <c r="AE13" i="18"/>
  <c r="BG4" i="18"/>
  <c r="BE7" i="18"/>
  <c r="AU12" i="18"/>
  <c r="I71" i="17"/>
  <c r="E112" i="16"/>
  <c r="I44" i="16"/>
  <c r="U44" i="17"/>
  <c r="C46" i="17"/>
  <c r="P117" i="18"/>
  <c r="BB5" i="18"/>
  <c r="AS15" i="18"/>
  <c r="AV2" i="18"/>
  <c r="BM5" i="18"/>
  <c r="AY11" i="18"/>
  <c r="AX16" i="18"/>
  <c r="AM9" i="18"/>
  <c r="U36" i="17"/>
  <c r="K87" i="16"/>
  <c r="G44" i="16"/>
  <c r="C72" i="17"/>
  <c r="AL16" i="18"/>
  <c r="BB2" i="18"/>
  <c r="BN11" i="18"/>
  <c r="AC14" i="18"/>
  <c r="AU6" i="18"/>
  <c r="AX7" i="18"/>
  <c r="I64" i="17"/>
  <c r="J69" i="16"/>
  <c r="I38" i="16"/>
  <c r="T36" i="17"/>
  <c r="C73" i="17"/>
  <c r="Z15" i="18"/>
  <c r="BM8" i="18"/>
  <c r="BD6" i="18"/>
  <c r="AU13" i="18"/>
  <c r="BA4" i="18"/>
  <c r="U38" i="17"/>
  <c r="F52" i="16"/>
  <c r="G54" i="16"/>
  <c r="R35" i="17"/>
  <c r="C51" i="17"/>
  <c r="AD13" i="18"/>
  <c r="AE17" i="18"/>
  <c r="BB3" i="18"/>
  <c r="AY9" i="18"/>
  <c r="BD11" i="18"/>
  <c r="U37" i="17"/>
  <c r="G83" i="16"/>
  <c r="G55" i="16"/>
  <c r="A119" i="16"/>
  <c r="O52" i="18"/>
  <c r="AL9" i="18"/>
  <c r="BM12" i="18"/>
  <c r="AU10" i="18"/>
  <c r="AM8" i="18"/>
  <c r="BJ5" i="18"/>
  <c r="AV3" i="18"/>
  <c r="BH2" i="18"/>
  <c r="BG5" i="18"/>
  <c r="AE5" i="18"/>
  <c r="AV6" i="18"/>
  <c r="AR16" i="18"/>
  <c r="BE10" i="18"/>
  <c r="R38" i="17"/>
  <c r="K78" i="16"/>
  <c r="N33" i="16"/>
  <c r="N87" i="16"/>
  <c r="C16" i="17"/>
  <c r="C62" i="17"/>
  <c r="O69" i="18"/>
  <c r="Q15" i="18"/>
  <c r="AN14" i="18"/>
  <c r="BK8" i="18"/>
  <c r="BD9" i="18"/>
  <c r="AD14" i="18"/>
  <c r="BD14" i="18"/>
  <c r="BH15" i="18"/>
  <c r="AE10" i="18"/>
  <c r="AD5" i="18"/>
  <c r="U47" i="17"/>
  <c r="F31" i="16"/>
  <c r="N52" i="16"/>
  <c r="E117" i="16"/>
  <c r="C41" i="17"/>
  <c r="C23" i="17"/>
  <c r="Q44" i="18"/>
  <c r="P47" i="18"/>
  <c r="BD13" i="18"/>
  <c r="AL8" i="18"/>
  <c r="BM7" i="18"/>
  <c r="AV13" i="18"/>
  <c r="AB14" i="18"/>
  <c r="BK10" i="18"/>
  <c r="AR9" i="18"/>
  <c r="AM3" i="18"/>
  <c r="I68" i="17"/>
  <c r="N78" i="16"/>
  <c r="N59" i="16"/>
  <c r="G25" i="16"/>
  <c r="I63" i="17"/>
  <c r="C64" i="17"/>
  <c r="P44" i="18"/>
  <c r="BA10" i="18"/>
  <c r="BN12" i="18"/>
  <c r="BA5" i="18"/>
  <c r="AM7" i="18"/>
  <c r="AS10" i="18"/>
  <c r="AS13" i="18"/>
  <c r="AD7" i="18"/>
  <c r="AV8" i="18"/>
  <c r="R18" i="18"/>
  <c r="T38" i="17"/>
  <c r="K31" i="16"/>
  <c r="J34" i="16"/>
  <c r="G66" i="16"/>
  <c r="C70" i="17"/>
  <c r="C43" i="17"/>
  <c r="P60" i="18"/>
  <c r="BA15" i="18"/>
  <c r="AR14" i="18"/>
  <c r="AU15" i="18"/>
  <c r="AV5" i="18"/>
  <c r="AS5" i="18"/>
  <c r="BB8" i="18"/>
  <c r="BK5" i="18"/>
  <c r="AR20" i="18"/>
  <c r="R37" i="17"/>
  <c r="E32" i="16"/>
  <c r="K36" i="16"/>
  <c r="C55" i="17"/>
  <c r="U40" i="17"/>
  <c r="C44" i="17"/>
  <c r="Q40" i="18"/>
  <c r="BG13" i="18"/>
  <c r="AR12" i="18"/>
  <c r="AL14" i="18"/>
  <c r="Y16" i="18"/>
  <c r="AH4" i="18"/>
  <c r="AD4" i="18"/>
  <c r="Z4" i="18"/>
  <c r="AN9" i="18"/>
  <c r="R25" i="18"/>
  <c r="AS3" i="18"/>
  <c r="AB15" i="18"/>
  <c r="AR10" i="18"/>
  <c r="BG11" i="18"/>
  <c r="BG15" i="18"/>
  <c r="BJ13" i="18"/>
  <c r="AS6" i="18"/>
  <c r="BN9" i="18"/>
  <c r="R21" i="18"/>
  <c r="AI6" i="18"/>
  <c r="AI5" i="18"/>
  <c r="AU8" i="18"/>
  <c r="Q16" i="18"/>
  <c r="AX11" i="18"/>
  <c r="AY15" i="18"/>
  <c r="AM12" i="18"/>
  <c r="BE6" i="18"/>
  <c r="BJ4" i="18"/>
  <c r="BH9" i="18"/>
  <c r="BJ11" i="18"/>
  <c r="BG7" i="18"/>
  <c r="AK5" i="18"/>
  <c r="AO4" i="18"/>
  <c r="AX12" i="18"/>
  <c r="AY7" i="18"/>
  <c r="AL2" i="18"/>
  <c r="P46" i="18"/>
  <c r="P110" i="18"/>
  <c r="BK9" i="18"/>
  <c r="Y15" i="18"/>
  <c r="AS11" i="18"/>
  <c r="AX5" i="18"/>
  <c r="AJ4" i="18"/>
  <c r="AN15" i="18"/>
  <c r="AE11" i="18"/>
  <c r="AH7" i="18"/>
  <c r="AS2" i="18"/>
  <c r="AU16" i="18"/>
  <c r="BB11" i="18"/>
  <c r="AN6" i="18"/>
  <c r="R19" i="18"/>
  <c r="C63" i="17"/>
  <c r="G56" i="16"/>
  <c r="G82" i="16"/>
  <c r="E115" i="16"/>
  <c r="N88" i="16"/>
  <c r="S36" i="17"/>
  <c r="C14" i="17"/>
  <c r="C69" i="17"/>
  <c r="P45" i="18"/>
  <c r="P116" i="18"/>
  <c r="AC5" i="18"/>
  <c r="AV11" i="18"/>
  <c r="AH6" i="18"/>
  <c r="AY2" i="18"/>
  <c r="BH14" i="18"/>
  <c r="BE8" i="18"/>
  <c r="AI7" i="18"/>
  <c r="BJ2" i="18"/>
  <c r="BA14" i="18"/>
  <c r="AS9" i="18"/>
  <c r="BH5" i="18"/>
  <c r="BB15" i="18"/>
  <c r="R69" i="18"/>
  <c r="I69" i="17"/>
  <c r="G68" i="16"/>
  <c r="G33" i="16"/>
  <c r="C70" i="16"/>
  <c r="K25" i="16"/>
  <c r="T37" i="17"/>
  <c r="C15" i="17"/>
  <c r="C48" i="17"/>
  <c r="P41" i="18"/>
  <c r="Q14" i="18"/>
  <c r="AS4" i="18"/>
  <c r="AN8" i="18"/>
  <c r="BM4" i="18"/>
  <c r="AU11" i="18"/>
  <c r="BH12" i="18"/>
  <c r="BJ7" i="18"/>
  <c r="AY6" i="18"/>
  <c r="BN4" i="18"/>
  <c r="BN13" i="18"/>
  <c r="AX8" i="18"/>
  <c r="AX4" i="18"/>
  <c r="AA15" i="18"/>
  <c r="C40" i="17"/>
  <c r="E111" i="16"/>
  <c r="G87" i="16"/>
  <c r="N38" i="16"/>
  <c r="U35" i="17"/>
  <c r="C53" i="17"/>
  <c r="C71" i="17"/>
  <c r="Q58" i="18"/>
  <c r="P115" i="18"/>
  <c r="BJ3" i="18"/>
  <c r="BJ6" i="18"/>
  <c r="AZ2" i="18"/>
  <c r="AC17" i="18"/>
  <c r="AM11" i="18"/>
  <c r="AJ7" i="18"/>
  <c r="BK2" i="18"/>
  <c r="BA16" i="18"/>
  <c r="AN13" i="18"/>
  <c r="AC7" i="18"/>
  <c r="BN3" i="18"/>
  <c r="AU14" i="18"/>
  <c r="I60" i="17"/>
  <c r="K51" i="16"/>
  <c r="J52" i="16"/>
  <c r="G53" i="16"/>
  <c r="K38" i="16"/>
  <c r="I62" i="17"/>
  <c r="I61" i="17"/>
  <c r="C54" i="17"/>
  <c r="I67" i="17"/>
  <c r="P43" i="18"/>
  <c r="Q18" i="18"/>
  <c r="Q13" i="18"/>
  <c r="AV7" i="18"/>
  <c r="AN12" i="18"/>
  <c r="AB5" i="18"/>
  <c r="AR7" i="18"/>
  <c r="AX10" i="18"/>
  <c r="AN11" i="18"/>
  <c r="AE14" i="18"/>
  <c r="BJ16" i="18"/>
  <c r="AY3" i="18"/>
  <c r="AE4" i="18"/>
  <c r="AX6" i="18"/>
  <c r="AV9" i="18"/>
  <c r="BA12" i="18"/>
  <c r="AD15" i="18"/>
  <c r="BE15" i="18"/>
  <c r="BF2" i="18"/>
  <c r="AV4" i="18"/>
  <c r="AU4" i="18"/>
  <c r="G29" i="16"/>
  <c r="I69" i="16"/>
  <c r="N69" i="16"/>
  <c r="F70" i="16"/>
  <c r="K74" i="16"/>
  <c r="C58" i="17"/>
  <c r="G40" i="16"/>
  <c r="C21" i="17"/>
  <c r="C47" i="17"/>
  <c r="P114" i="18"/>
  <c r="Q54" i="18"/>
  <c r="O78" i="18"/>
  <c r="BK6" i="18"/>
  <c r="AE3" i="18"/>
  <c r="AR4" i="18"/>
  <c r="BG6" i="18"/>
  <c r="BE9" i="18"/>
  <c r="AV10" i="18"/>
  <c r="AX13" i="18"/>
  <c r="BN15" i="18"/>
  <c r="BL2" i="18"/>
  <c r="AX3" i="18"/>
  <c r="BN5" i="18"/>
  <c r="BA8" i="18"/>
  <c r="BE11" i="18"/>
  <c r="AY12" i="18"/>
  <c r="AC15" i="18"/>
  <c r="AO2" i="18"/>
  <c r="BM3" i="18"/>
  <c r="BK3" i="18"/>
  <c r="AR19" i="18"/>
  <c r="BD5" i="18"/>
  <c r="AF16" i="18"/>
  <c r="AK3" i="18"/>
  <c r="AY5" i="18"/>
  <c r="AE6" i="18"/>
  <c r="BH8" i="18"/>
  <c r="BM11" i="18"/>
  <c r="BG14" i="18"/>
  <c r="AM15" i="18"/>
  <c r="AU2" i="18"/>
  <c r="BD4" i="18"/>
  <c r="AE7" i="18"/>
  <c r="AL10" i="18"/>
  <c r="BJ10" i="18"/>
  <c r="BK13" i="18"/>
  <c r="AN16" i="18"/>
  <c r="AM16" i="18"/>
  <c r="BD2" i="18"/>
  <c r="U39" i="17"/>
  <c r="C17" i="17"/>
  <c r="I40" i="16"/>
  <c r="E113" i="16"/>
  <c r="N85" i="16"/>
  <c r="D71" i="16"/>
  <c r="K76" i="16"/>
  <c r="I70" i="17"/>
  <c r="N44" i="16"/>
  <c r="C24" i="17"/>
  <c r="C50" i="17"/>
  <c r="Q59" i="18"/>
  <c r="P42" i="18"/>
  <c r="AS14" i="18"/>
  <c r="AL3" i="18"/>
  <c r="BE13" i="18"/>
  <c r="AD16" i="18"/>
  <c r="AD17" i="18"/>
  <c r="BD3" i="18"/>
  <c r="AD6" i="18"/>
  <c r="BG8" i="18"/>
  <c r="BA9" i="18"/>
  <c r="BE12" i="18"/>
  <c r="AL15" i="18"/>
  <c r="AT2" i="18"/>
  <c r="BI2" i="18"/>
  <c r="AJ5" i="18"/>
  <c r="BB7" i="18"/>
  <c r="BH10" i="18"/>
  <c r="BG10" i="18"/>
  <c r="BH13" i="18"/>
  <c r="R17" i="18"/>
  <c r="R36" i="17"/>
  <c r="AA202" i="17"/>
  <c r="F69" i="16"/>
  <c r="K69" i="16"/>
  <c r="G35" i="16"/>
  <c r="K72" i="16"/>
  <c r="U43" i="17"/>
  <c r="R39" i="17"/>
  <c r="C52" i="17"/>
  <c r="I66" i="17"/>
  <c r="O77" i="18"/>
  <c r="P40" i="18"/>
  <c r="Q51" i="18"/>
  <c r="BD10" i="18"/>
  <c r="BN14" i="18"/>
  <c r="AU7" i="18"/>
  <c r="AY10" i="18"/>
  <c r="BA13" i="18"/>
  <c r="AA16" i="18"/>
  <c r="BM16" i="18"/>
  <c r="BA3" i="18"/>
  <c r="AB6" i="18"/>
  <c r="BD8" i="18"/>
  <c r="BH11" i="18"/>
  <c r="BB12" i="18"/>
  <c r="AE15" i="18"/>
  <c r="AR2" i="18"/>
  <c r="AY4" i="18"/>
  <c r="AH5" i="18"/>
  <c r="BN6" i="18"/>
  <c r="BM9" i="18"/>
  <c r="AV14" i="18"/>
  <c r="AO3" i="18"/>
  <c r="AS8" i="18"/>
  <c r="T21" i="18"/>
  <c r="BB10" i="18"/>
  <c r="AV15" i="18"/>
  <c r="AL4" i="18"/>
  <c r="BJ8" i="18"/>
  <c r="AF14" i="18"/>
  <c r="BN2" i="18"/>
  <c r="AL7" i="18"/>
  <c r="BG12" i="18"/>
  <c r="BH6" i="18"/>
  <c r="AA6" i="18"/>
  <c r="BN10" i="18"/>
  <c r="BJ15" i="18"/>
  <c r="BB4" i="18"/>
  <c r="AU9" i="18"/>
  <c r="AY14" i="18"/>
  <c r="AR3" i="18"/>
  <c r="BA7" i="18"/>
  <c r="AF13" i="18"/>
  <c r="AM2" i="18"/>
  <c r="BM6" i="18"/>
  <c r="S65" i="18"/>
  <c r="BJ9" i="18"/>
  <c r="BM14" i="18"/>
  <c r="BE3" i="18"/>
  <c r="BN7" i="18"/>
  <c r="AY13" i="18"/>
  <c r="AX2" i="18"/>
  <c r="BB6" i="18"/>
  <c r="BK11" i="18"/>
  <c r="BG16" i="18"/>
  <c r="AR5" i="18"/>
  <c r="AN10" i="18"/>
  <c r="AF15" i="18"/>
  <c r="AC4" i="18"/>
  <c r="AY8" i="18"/>
  <c r="BM13" i="18"/>
  <c r="BG2" i="18"/>
  <c r="AA7" i="18"/>
  <c r="AV12" i="18"/>
  <c r="BG3" i="18"/>
  <c r="AM6" i="18"/>
  <c r="BN8" i="18"/>
  <c r="AM14" i="18"/>
  <c r="AD3" i="18"/>
  <c r="AN7" i="18"/>
  <c r="BJ12" i="18"/>
  <c r="AS7" i="18"/>
  <c r="AC6" i="18"/>
  <c r="AL11" i="18"/>
  <c r="BM15" i="18"/>
  <c r="BE4" i="18"/>
  <c r="AX9" i="18"/>
  <c r="BB14" i="18"/>
  <c r="AU3" i="18"/>
  <c r="BD7" i="18"/>
  <c r="AM13" i="18"/>
  <c r="AP2" i="18"/>
  <c r="AR6" i="18"/>
  <c r="BA11" i="18"/>
  <c r="AS19" i="18"/>
  <c r="BE5" i="18"/>
  <c r="T35" i="18"/>
  <c r="BE2" i="11"/>
  <c r="BH2" i="11" s="1"/>
  <c r="BK2" i="11" s="1"/>
  <c r="BN2" i="11" s="1"/>
  <c r="AF13" i="11"/>
  <c r="AE10" i="11"/>
  <c r="AF17" i="11"/>
  <c r="AE14" i="11"/>
  <c r="AE17" i="11"/>
  <c r="AE13" i="11"/>
  <c r="BD16" i="11"/>
  <c r="AI4" i="11"/>
  <c r="AJ4" i="11" s="1"/>
  <c r="AF16" i="11"/>
  <c r="E29" i="12"/>
  <c r="F24" i="12"/>
  <c r="C42" i="10"/>
  <c r="F71" i="12"/>
  <c r="A73" i="12" s="1"/>
  <c r="AC16" i="11"/>
  <c r="AE16" i="11" s="1"/>
  <c r="AC15" i="11"/>
  <c r="BO2" i="11" s="1"/>
  <c r="AA7" i="11"/>
  <c r="AD14" i="11"/>
  <c r="AR2" i="11" s="1"/>
  <c r="AD15" i="11"/>
  <c r="AF15" i="11" s="1"/>
  <c r="AB14" i="11"/>
  <c r="BB2" i="11"/>
  <c r="C28" i="8"/>
  <c r="S28" i="8" s="1"/>
  <c r="U27" i="5"/>
  <c r="G56" i="10"/>
  <c r="C39" i="10" l="1"/>
  <c r="C28" i="10" s="1"/>
  <c r="P96" i="22"/>
  <c r="T96" i="22" s="1"/>
  <c r="O96" i="22"/>
  <c r="N96" i="22"/>
  <c r="L96" i="22"/>
  <c r="V96" i="22" s="1"/>
  <c r="Q96" i="22"/>
  <c r="M96" i="22"/>
  <c r="S96" i="22"/>
  <c r="U96" i="22" s="1"/>
  <c r="C97" i="22" s="1"/>
  <c r="R96" i="22"/>
  <c r="E8" i="15"/>
  <c r="T35" i="14"/>
  <c r="T37" i="15"/>
  <c r="T39" i="15"/>
  <c r="U46" i="15"/>
  <c r="T36" i="15"/>
  <c r="U45" i="15"/>
  <c r="U48" i="15"/>
  <c r="U39" i="15"/>
  <c r="R38" i="15"/>
  <c r="T40" i="15"/>
  <c r="U47" i="15"/>
  <c r="U40" i="15"/>
  <c r="R37" i="15"/>
  <c r="T38" i="15"/>
  <c r="R36" i="15"/>
  <c r="U35" i="15"/>
  <c r="U43" i="15"/>
  <c r="U36" i="15"/>
  <c r="U37" i="15"/>
  <c r="T35" i="15"/>
  <c r="U44" i="15"/>
  <c r="S39" i="15"/>
  <c r="R35" i="15"/>
  <c r="R39" i="15"/>
  <c r="S37" i="15"/>
  <c r="S35" i="15"/>
  <c r="U42" i="15"/>
  <c r="R40" i="15"/>
  <c r="U38" i="15"/>
  <c r="S36" i="15"/>
  <c r="R23" i="14"/>
  <c r="I68" i="15"/>
  <c r="C57" i="15"/>
  <c r="C41" i="15"/>
  <c r="P116" i="14"/>
  <c r="N88" i="14"/>
  <c r="O77" i="14"/>
  <c r="S65" i="14"/>
  <c r="G56" i="14"/>
  <c r="P40" i="14"/>
  <c r="K36" i="14"/>
  <c r="R21" i="14"/>
  <c r="BM11" i="14"/>
  <c r="BJ8" i="14"/>
  <c r="BG7" i="14"/>
  <c r="BD8" i="14"/>
  <c r="BA5" i="14"/>
  <c r="AX4" i="14"/>
  <c r="AU3" i="14"/>
  <c r="AR4" i="14"/>
  <c r="BN10" i="14"/>
  <c r="BK6" i="14"/>
  <c r="BH4" i="14"/>
  <c r="BE2" i="14"/>
  <c r="AY14" i="14"/>
  <c r="AV12" i="14"/>
  <c r="AS12" i="14"/>
  <c r="AE17" i="14"/>
  <c r="AE13" i="14"/>
  <c r="AM13" i="14"/>
  <c r="AL8" i="14"/>
  <c r="AO3" i="14"/>
  <c r="AC7" i="14"/>
  <c r="AK3" i="14"/>
  <c r="AU15" i="14"/>
  <c r="C49" i="15"/>
  <c r="AX12" i="14"/>
  <c r="AN16" i="14"/>
  <c r="I65" i="15"/>
  <c r="C58" i="15"/>
  <c r="I51" i="15"/>
  <c r="C95" i="15" s="1"/>
  <c r="P114" i="14"/>
  <c r="J87" i="14"/>
  <c r="F70" i="14"/>
  <c r="P60" i="14"/>
  <c r="P41" i="14"/>
  <c r="J34" i="14"/>
  <c r="AS19" i="14"/>
  <c r="BM8" i="14"/>
  <c r="BJ9" i="14"/>
  <c r="BG8" i="14"/>
  <c r="BD5" i="14"/>
  <c r="BA6" i="14"/>
  <c r="AX5" i="14"/>
  <c r="AU4" i="14"/>
  <c r="AA16" i="14"/>
  <c r="BN7" i="14"/>
  <c r="BK7" i="14"/>
  <c r="BH5" i="14"/>
  <c r="BE3" i="14"/>
  <c r="AY15" i="14"/>
  <c r="AV13" i="14"/>
  <c r="AS9" i="14"/>
  <c r="AF16" i="14"/>
  <c r="AE11" i="14"/>
  <c r="AN13" i="14"/>
  <c r="AM8" i="14"/>
  <c r="AO4" i="14"/>
  <c r="AD6" i="14"/>
  <c r="AL3" i="14"/>
  <c r="BJ4" i="14"/>
  <c r="AE10" i="14"/>
  <c r="C66" i="15"/>
  <c r="Q55" i="14"/>
  <c r="BG15" i="14"/>
  <c r="BK15" i="14"/>
  <c r="AV4" i="14"/>
  <c r="AH5" i="14"/>
  <c r="I66" i="15"/>
  <c r="C55" i="15"/>
  <c r="P115" i="14"/>
  <c r="K87" i="14"/>
  <c r="D71" i="14"/>
  <c r="K63" i="14"/>
  <c r="G54" i="14"/>
  <c r="N45" i="14"/>
  <c r="G35" i="14"/>
  <c r="AR19" i="14"/>
  <c r="BM9" i="14"/>
  <c r="BJ6" i="14"/>
  <c r="BG5" i="14"/>
  <c r="BD6" i="14"/>
  <c r="BA3" i="14"/>
  <c r="AX2" i="14"/>
  <c r="AR16" i="14"/>
  <c r="AR2" i="14"/>
  <c r="BN8" i="14"/>
  <c r="BK4" i="14"/>
  <c r="BH2" i="14"/>
  <c r="BB14" i="14"/>
  <c r="AY12" i="14"/>
  <c r="AV10" i="14"/>
  <c r="AS10" i="14"/>
  <c r="AC17" i="14"/>
  <c r="AC13" i="14"/>
  <c r="AN12" i="14"/>
  <c r="AN7" i="14"/>
  <c r="AO2" i="14"/>
  <c r="AC6" i="14"/>
  <c r="AD3" i="14"/>
  <c r="AA202" i="15"/>
  <c r="C53" i="15"/>
  <c r="C24" i="15"/>
  <c r="P113" i="14"/>
  <c r="Q59" i="14"/>
  <c r="I44" i="14"/>
  <c r="AS18" i="14"/>
  <c r="BG3" i="14"/>
  <c r="BA2" i="14"/>
  <c r="Y15" i="14"/>
  <c r="BK2" i="14"/>
  <c r="BB12" i="14"/>
  <c r="AV8" i="14"/>
  <c r="AE16" i="14"/>
  <c r="AM7" i="14"/>
  <c r="AE5" i="14"/>
  <c r="K69" i="14"/>
  <c r="AR12" i="14"/>
  <c r="AS4" i="14"/>
  <c r="I63" i="15"/>
  <c r="C56" i="15"/>
  <c r="C40" i="15"/>
  <c r="P112" i="14"/>
  <c r="G86" i="14"/>
  <c r="C70" i="14"/>
  <c r="Q58" i="14"/>
  <c r="G55" i="14"/>
  <c r="Q44" i="14"/>
  <c r="K33" i="14"/>
  <c r="R19" i="14"/>
  <c r="BM6" i="14"/>
  <c r="BJ7" i="14"/>
  <c r="BG6" i="14"/>
  <c r="BD3" i="14"/>
  <c r="BA4" i="14"/>
  <c r="AX3" i="14"/>
  <c r="AU2" i="14"/>
  <c r="AA15" i="14"/>
  <c r="BN5" i="14"/>
  <c r="BK5" i="14"/>
  <c r="BH3" i="14"/>
  <c r="BB15" i="14"/>
  <c r="AY13" i="14"/>
  <c r="AV11" i="14"/>
  <c r="AS7" i="14"/>
  <c r="AD16" i="14"/>
  <c r="AF10" i="14"/>
  <c r="AL13" i="14"/>
  <c r="AL7" i="14"/>
  <c r="AK5" i="14"/>
  <c r="AD5" i="14"/>
  <c r="AE3" i="14"/>
  <c r="I64" i="15"/>
  <c r="F69" i="14"/>
  <c r="O52" i="14"/>
  <c r="N33" i="14"/>
  <c r="BM7" i="14"/>
  <c r="BD4" i="14"/>
  <c r="AR15" i="14"/>
  <c r="BN6" i="14"/>
  <c r="BE15" i="14"/>
  <c r="AY10" i="14"/>
  <c r="AS8" i="14"/>
  <c r="AL12" i="14"/>
  <c r="AL5" i="14"/>
  <c r="BL2" i="14"/>
  <c r="C20" i="15"/>
  <c r="BM3" i="14"/>
  <c r="BE10" i="14"/>
  <c r="AD4" i="14"/>
  <c r="G87" i="14"/>
  <c r="C73" i="15"/>
  <c r="I61" i="15"/>
  <c r="C54" i="15"/>
  <c r="P110" i="14"/>
  <c r="G83" i="14"/>
  <c r="C69" i="14"/>
  <c r="Q56" i="14"/>
  <c r="G53" i="14"/>
  <c r="N44" i="14"/>
  <c r="E32" i="14"/>
  <c r="R18" i="14"/>
  <c r="BM4" i="14"/>
  <c r="BJ5" i="14"/>
  <c r="BG4" i="14"/>
  <c r="BA16" i="14"/>
  <c r="AX16" i="14"/>
  <c r="AU16" i="14"/>
  <c r="AR13" i="14"/>
  <c r="Y16" i="14"/>
  <c r="BN4" i="14"/>
  <c r="BK3" i="14"/>
  <c r="BE13" i="14"/>
  <c r="BB13" i="14"/>
  <c r="AY11" i="14"/>
  <c r="AV9" i="14"/>
  <c r="AS5" i="14"/>
  <c r="AF15" i="14"/>
  <c r="AA6" i="14"/>
  <c r="AM12" i="14"/>
  <c r="AM6" i="14"/>
  <c r="AI5" i="14"/>
  <c r="AE4" i="14"/>
  <c r="BO2" i="14"/>
  <c r="I60" i="15"/>
  <c r="N85" i="14"/>
  <c r="Q54" i="14"/>
  <c r="Q40" i="14"/>
  <c r="BM2" i="14"/>
  <c r="BG2" i="14"/>
  <c r="AX15" i="14"/>
  <c r="AR11" i="14"/>
  <c r="BN3" i="14"/>
  <c r="BE12" i="14"/>
  <c r="AY9" i="14"/>
  <c r="AS3" i="14"/>
  <c r="AM16" i="14"/>
  <c r="AL6" i="14"/>
  <c r="AC4" i="14"/>
  <c r="G82" i="14"/>
  <c r="BA14" i="14"/>
  <c r="AY6" i="14"/>
  <c r="AA201" i="15"/>
  <c r="I62" i="15"/>
  <c r="C51" i="15"/>
  <c r="C22" i="15"/>
  <c r="P111" i="14"/>
  <c r="G84" i="14"/>
  <c r="O69" i="14"/>
  <c r="Q57" i="14"/>
  <c r="J52" i="14"/>
  <c r="G44" i="14"/>
  <c r="G33" i="14"/>
  <c r="Q19" i="14"/>
  <c r="BM5" i="14"/>
  <c r="BJ2" i="14"/>
  <c r="BD16" i="14"/>
  <c r="BD2" i="14"/>
  <c r="AX14" i="14"/>
  <c r="AU13" i="14"/>
  <c r="AR14" i="14"/>
  <c r="Q15" i="14"/>
  <c r="BN2" i="14"/>
  <c r="BH14" i="14"/>
  <c r="BE14" i="14"/>
  <c r="BB10" i="14"/>
  <c r="AY8" i="14"/>
  <c r="AV6" i="14"/>
  <c r="AS6" i="14"/>
  <c r="AC16" i="14"/>
  <c r="AA7" i="14"/>
  <c r="AM11" i="14"/>
  <c r="AN6" i="14"/>
  <c r="AJ5" i="14"/>
  <c r="AC5" i="14"/>
  <c r="BF2" i="14"/>
  <c r="C71" i="15"/>
  <c r="C52" i="15"/>
  <c r="C23" i="15"/>
  <c r="E116" i="14"/>
  <c r="R69" i="14"/>
  <c r="N52" i="14"/>
  <c r="R17" i="14"/>
  <c r="BJ3" i="14"/>
  <c r="BA15" i="14"/>
  <c r="AU14" i="14"/>
  <c r="Q16" i="14"/>
  <c r="BH15" i="14"/>
  <c r="BB11" i="14"/>
  <c r="AV7" i="14"/>
  <c r="AD15" i="14"/>
  <c r="AN11" i="14"/>
  <c r="AL4" i="14"/>
  <c r="BI2" i="14"/>
  <c r="AU11" i="14"/>
  <c r="AI7" i="14"/>
  <c r="C67" i="15"/>
  <c r="K31" i="14"/>
  <c r="C69" i="15"/>
  <c r="G29" i="14"/>
  <c r="I71" i="15"/>
  <c r="C65" i="15"/>
  <c r="C48" i="15"/>
  <c r="C17" i="15"/>
  <c r="E112" i="14"/>
  <c r="K72" i="14"/>
  <c r="J69" i="14"/>
  <c r="O59" i="14"/>
  <c r="P45" i="14"/>
  <c r="I38" i="14"/>
  <c r="K25" i="14"/>
  <c r="BM14" i="14"/>
  <c r="BJ14" i="14"/>
  <c r="BG14" i="14"/>
  <c r="BD13" i="14"/>
  <c r="BA10" i="14"/>
  <c r="AX11" i="14"/>
  <c r="AU10" i="14"/>
  <c r="AR7" i="14"/>
  <c r="BN13" i="14"/>
  <c r="BK13" i="14"/>
  <c r="BH9" i="14"/>
  <c r="BE9" i="14"/>
  <c r="BB7" i="14"/>
  <c r="AY5" i="14"/>
  <c r="AV3" i="14"/>
  <c r="Z15" i="14"/>
  <c r="AD14" i="14"/>
  <c r="AN15" i="14"/>
  <c r="AM10" i="14"/>
  <c r="AH7" i="14"/>
  <c r="AH4" i="14"/>
  <c r="AW2" i="14"/>
  <c r="I72" i="15"/>
  <c r="C62" i="15"/>
  <c r="C45" i="15"/>
  <c r="C14" i="15"/>
  <c r="E113" i="14"/>
  <c r="K74" i="14"/>
  <c r="G68" i="14"/>
  <c r="Q51" i="14"/>
  <c r="P46" i="14"/>
  <c r="I40" i="14"/>
  <c r="R25" i="14"/>
  <c r="BM15" i="14"/>
  <c r="BJ12" i="14"/>
  <c r="BG11" i="14"/>
  <c r="BD10" i="14"/>
  <c r="BA11" i="14"/>
  <c r="AX8" i="14"/>
  <c r="AU8" i="14"/>
  <c r="AR8" i="14"/>
  <c r="BN14" i="14"/>
  <c r="BK10" i="14"/>
  <c r="BH10" i="14"/>
  <c r="BE6" i="14"/>
  <c r="BB4" i="14"/>
  <c r="AY2" i="14"/>
  <c r="AS14" i="14"/>
  <c r="AB14" i="14"/>
  <c r="AE14" i="14"/>
  <c r="AN14" i="14"/>
  <c r="AN9" i="14"/>
  <c r="AH6" i="14"/>
  <c r="AI4" i="14"/>
  <c r="AP3" i="14"/>
  <c r="AL2" i="14"/>
  <c r="I70" i="15"/>
  <c r="C59" i="15"/>
  <c r="C43" i="15"/>
  <c r="P117" i="14"/>
  <c r="E111" i="14"/>
  <c r="O78" i="14"/>
  <c r="G67" i="14"/>
  <c r="K56" i="14"/>
  <c r="P42" i="14"/>
  <c r="G40" i="14"/>
  <c r="G25" i="14"/>
  <c r="BM12" i="14"/>
  <c r="BJ10" i="14"/>
  <c r="BG9" i="14"/>
  <c r="BD9" i="14"/>
  <c r="BA7" i="14"/>
  <c r="AX6" i="14"/>
  <c r="AU7" i="14"/>
  <c r="AR6" i="14"/>
  <c r="BN12" i="14"/>
  <c r="BK8" i="14"/>
  <c r="BH8" i="14"/>
  <c r="BE4" i="14"/>
  <c r="BB3" i="14"/>
  <c r="AV14" i="14"/>
  <c r="AS13" i="14"/>
  <c r="Z14" i="14"/>
  <c r="AC14" i="14"/>
  <c r="AL14" i="14"/>
  <c r="AN8" i="14"/>
  <c r="AB5" i="14"/>
  <c r="AE7" i="14"/>
  <c r="AM3" i="14"/>
  <c r="I67" i="15"/>
  <c r="C60" i="15"/>
  <c r="C44" i="15"/>
  <c r="A119" i="14"/>
  <c r="N87" i="14"/>
  <c r="N77" i="14"/>
  <c r="G65" i="14"/>
  <c r="K58" i="14"/>
  <c r="P43" i="14"/>
  <c r="G38" i="14"/>
  <c r="AR20" i="14"/>
  <c r="BM10" i="14"/>
  <c r="BJ11" i="14"/>
  <c r="BG10" i="14"/>
  <c r="BD7" i="14"/>
  <c r="BA8" i="14"/>
  <c r="AX7" i="14"/>
  <c r="AU5" i="14"/>
  <c r="AR3" i="14"/>
  <c r="BN9" i="14"/>
  <c r="BK9" i="14"/>
  <c r="BH6" i="14"/>
  <c r="BE5" i="14"/>
  <c r="BB2" i="14"/>
  <c r="AV15" i="14"/>
  <c r="AS11" i="14"/>
  <c r="AD17" i="14"/>
  <c r="AD13" i="14"/>
  <c r="AM14" i="14"/>
  <c r="AL9" i="14"/>
  <c r="AB6" i="14"/>
  <c r="AE6" i="14"/>
  <c r="AP2" i="14"/>
  <c r="C72" i="15"/>
  <c r="E117" i="14"/>
  <c r="F52" i="14"/>
  <c r="N41" i="14"/>
  <c r="K30" i="14"/>
  <c r="Q18" i="14"/>
  <c r="BD14" i="14"/>
  <c r="Q13" i="14"/>
  <c r="BH12" i="14"/>
  <c r="BB8" i="14"/>
  <c r="AE15" i="14"/>
  <c r="AN10" i="14"/>
  <c r="AZ2" i="14"/>
  <c r="C21" i="15"/>
  <c r="P47" i="14"/>
  <c r="BM16" i="14"/>
  <c r="BG16" i="14"/>
  <c r="BD15" i="14"/>
  <c r="BA12" i="14"/>
  <c r="K76" i="14"/>
  <c r="Q17" i="14"/>
  <c r="AU6" i="14"/>
  <c r="BB9" i="14"/>
  <c r="AM15" i="14"/>
  <c r="AM2" i="14"/>
  <c r="AX13" i="14"/>
  <c r="AX10" i="14"/>
  <c r="AC15" i="14"/>
  <c r="K78" i="14"/>
  <c r="BM13" i="14"/>
  <c r="AR9" i="14"/>
  <c r="BB6" i="14"/>
  <c r="AL15" i="14"/>
  <c r="BB5" i="14"/>
  <c r="AL11" i="14"/>
  <c r="AV2" i="14"/>
  <c r="AJ4" i="14"/>
  <c r="Y4" i="14"/>
  <c r="Z4" i="14"/>
  <c r="N78" i="14"/>
  <c r="BJ15" i="14"/>
  <c r="AR10" i="14"/>
  <c r="N69" i="14"/>
  <c r="BJ16" i="14"/>
  <c r="AR5" i="14"/>
  <c r="AY7" i="14"/>
  <c r="AL10" i="14"/>
  <c r="AM9" i="14"/>
  <c r="BK12" i="14"/>
  <c r="C16" i="15"/>
  <c r="N40" i="14"/>
  <c r="K38" i="14"/>
  <c r="C70" i="15"/>
  <c r="I69" i="14"/>
  <c r="BJ13" i="14"/>
  <c r="Q14" i="14"/>
  <c r="AY4" i="14"/>
  <c r="AS15" i="14"/>
  <c r="BA13" i="14"/>
  <c r="AK4" i="14"/>
  <c r="P44" i="14"/>
  <c r="AS2" i="14"/>
  <c r="BH11" i="14"/>
  <c r="C15" i="15"/>
  <c r="I69" i="15"/>
  <c r="G66" i="14"/>
  <c r="BG13" i="14"/>
  <c r="BN15" i="14"/>
  <c r="AY3" i="14"/>
  <c r="AJ7" i="14"/>
  <c r="N59" i="14"/>
  <c r="BE11" i="14"/>
  <c r="C64" i="15"/>
  <c r="Q52" i="14"/>
  <c r="BG12" i="14"/>
  <c r="BN11" i="14"/>
  <c r="AV5" i="14"/>
  <c r="AJ6" i="14"/>
  <c r="BD11" i="14"/>
  <c r="C47" i="15"/>
  <c r="AB15" i="14"/>
  <c r="AD7" i="14"/>
  <c r="AF17" i="14"/>
  <c r="C63" i="15"/>
  <c r="Q53" i="14"/>
  <c r="BD12" i="14"/>
  <c r="BK14" i="14"/>
  <c r="AI6" i="14"/>
  <c r="K51" i="14"/>
  <c r="BH13" i="14"/>
  <c r="N38" i="14"/>
  <c r="AF14" i="14"/>
  <c r="C50" i="15"/>
  <c r="BK11" i="14"/>
  <c r="BA9" i="14"/>
  <c r="BH7" i="14"/>
  <c r="AX9" i="14"/>
  <c r="C46" i="15"/>
  <c r="E114" i="14"/>
  <c r="E115" i="14"/>
  <c r="F31" i="14"/>
  <c r="AU12" i="14"/>
  <c r="BE8" i="14"/>
  <c r="AF13" i="14"/>
  <c r="BC2" i="14"/>
  <c r="E110" i="14"/>
  <c r="T21" i="14"/>
  <c r="AU9" i="14"/>
  <c r="BE7" i="14"/>
  <c r="AL16" i="14"/>
  <c r="AT2" i="14"/>
  <c r="I95" i="17"/>
  <c r="J95" i="17" s="1"/>
  <c r="P95" i="17" s="1"/>
  <c r="T95" i="17" s="1"/>
  <c r="C95" i="17"/>
  <c r="M95" i="17"/>
  <c r="Q95" i="17"/>
  <c r="R95" i="17"/>
  <c r="S95" i="17"/>
  <c r="U95" i="17" s="1"/>
  <c r="C96" i="17" s="1"/>
  <c r="S28" i="15"/>
  <c r="R28" i="15"/>
  <c r="T43" i="15" s="1"/>
  <c r="E28" i="15"/>
  <c r="U28" i="15"/>
  <c r="F34" i="12"/>
  <c r="AN10" i="11"/>
  <c r="AN16" i="11"/>
  <c r="AZ2" i="11"/>
  <c r="BF2" i="11"/>
  <c r="BE3" i="11" s="1"/>
  <c r="BE4" i="11" s="1"/>
  <c r="AN13" i="11"/>
  <c r="AN11" i="11"/>
  <c r="AN6" i="11"/>
  <c r="BL2" i="11"/>
  <c r="AN7" i="11"/>
  <c r="AW2" i="11"/>
  <c r="AU2" i="11" s="1"/>
  <c r="AN14" i="11"/>
  <c r="AE15" i="11"/>
  <c r="AN9" i="11"/>
  <c r="BC2" i="11"/>
  <c r="AN15" i="11"/>
  <c r="BI2" i="11"/>
  <c r="BH3" i="11" s="1"/>
  <c r="AT2" i="11"/>
  <c r="AS3" i="11" s="1"/>
  <c r="AR3" i="11" s="1"/>
  <c r="AN12" i="11"/>
  <c r="AN8" i="11"/>
  <c r="AF14" i="11"/>
  <c r="AR16" i="11"/>
  <c r="AD4" i="11"/>
  <c r="AE4" i="11" s="1"/>
  <c r="BN3" i="11"/>
  <c r="E28" i="8"/>
  <c r="R28" i="8"/>
  <c r="T43" i="8" s="1"/>
  <c r="U28" i="8"/>
  <c r="AH27" i="5"/>
  <c r="C37" i="10"/>
  <c r="B6" i="2"/>
  <c r="C15" i="10" s="1"/>
  <c r="R40" i="11"/>
  <c r="C26" i="10" l="1"/>
  <c r="C27" i="10"/>
  <c r="W96" i="22"/>
  <c r="X96" i="22" s="1"/>
  <c r="B97" i="22"/>
  <c r="D97" i="22" s="1"/>
  <c r="E97" i="22" s="1"/>
  <c r="F97" i="22" s="1"/>
  <c r="G97" i="22" s="1"/>
  <c r="H97" i="22" s="1"/>
  <c r="BB6" i="8"/>
  <c r="AI27" i="5"/>
  <c r="B95" i="15"/>
  <c r="D95" i="15" s="1"/>
  <c r="E95" i="15" s="1"/>
  <c r="F95" i="15" s="1"/>
  <c r="G95" i="15" s="1"/>
  <c r="H95" i="15" s="1"/>
  <c r="K95" i="15" s="1"/>
  <c r="N95" i="17"/>
  <c r="O95" i="17"/>
  <c r="L95" i="17"/>
  <c r="V95" i="17" s="1"/>
  <c r="B96" i="17"/>
  <c r="D96" i="17" s="1"/>
  <c r="E96" i="17" s="1"/>
  <c r="F96" i="17" s="1"/>
  <c r="G96" i="17" s="1"/>
  <c r="H96" i="17" s="1"/>
  <c r="W95" i="17"/>
  <c r="X95" i="17" s="1"/>
  <c r="E42" i="12"/>
  <c r="C44" i="12" s="1"/>
  <c r="AX2" i="11"/>
  <c r="AD6" i="11" s="1"/>
  <c r="AE6" i="11" s="1"/>
  <c r="AY3" i="11"/>
  <c r="BK3" i="11"/>
  <c r="BK4" i="11" s="1"/>
  <c r="AS4" i="11"/>
  <c r="AR4" i="11" s="1"/>
  <c r="BB3" i="11"/>
  <c r="BB4" i="11" s="1"/>
  <c r="BB5" i="11" s="1"/>
  <c r="BD3" i="11"/>
  <c r="AV3" i="11"/>
  <c r="AU3" i="11" s="1"/>
  <c r="BG2" i="11"/>
  <c r="BG16" i="11" s="1"/>
  <c r="AU16" i="11"/>
  <c r="AD5" i="11"/>
  <c r="AE5" i="11" s="1"/>
  <c r="BN4" i="11"/>
  <c r="BD4" i="11"/>
  <c r="BE5" i="11"/>
  <c r="BH4" i="11"/>
  <c r="L56" i="5"/>
  <c r="S35" i="8"/>
  <c r="R40" i="8"/>
  <c r="R35" i="8"/>
  <c r="U43" i="8"/>
  <c r="S38" i="8"/>
  <c r="S37" i="8"/>
  <c r="S39" i="8"/>
  <c r="R37" i="8"/>
  <c r="R39" i="8"/>
  <c r="I51" i="8"/>
  <c r="R36" i="8"/>
  <c r="R38" i="8"/>
  <c r="S36" i="8"/>
  <c r="E30" i="10"/>
  <c r="E4" i="2"/>
  <c r="E5" i="2" s="1"/>
  <c r="E6" i="2" s="1"/>
  <c r="E39" i="2" s="1"/>
  <c r="K97" i="22" l="1"/>
  <c r="I97" i="22"/>
  <c r="J97" i="22" s="1"/>
  <c r="C36" i="10"/>
  <c r="C38" i="10" s="1"/>
  <c r="I95" i="15"/>
  <c r="J95" i="15" s="1"/>
  <c r="L95" i="15" s="1"/>
  <c r="V95" i="15" s="1"/>
  <c r="I96" i="17"/>
  <c r="J96" i="17" s="1"/>
  <c r="K96" i="17"/>
  <c r="M95" i="15"/>
  <c r="R95" i="15"/>
  <c r="Q95" i="15"/>
  <c r="S95" i="15"/>
  <c r="U95" i="15" s="1"/>
  <c r="C96" i="15" s="1"/>
  <c r="C45" i="12"/>
  <c r="AX3" i="11"/>
  <c r="BA2" i="11"/>
  <c r="BA5" i="11" s="1"/>
  <c r="AX16" i="11"/>
  <c r="C43" i="8"/>
  <c r="AV4" i="11"/>
  <c r="AU4" i="11" s="1"/>
  <c r="AY4" i="11"/>
  <c r="AY5" i="11" s="1"/>
  <c r="AX5" i="11" s="1"/>
  <c r="BG3" i="11"/>
  <c r="BJ2" i="11"/>
  <c r="BM2" i="11" s="1"/>
  <c r="BM4" i="11" s="1"/>
  <c r="AS5" i="11"/>
  <c r="AR5" i="11" s="1"/>
  <c r="AI5" i="11"/>
  <c r="AJ5" i="11" s="1"/>
  <c r="BD5" i="11"/>
  <c r="BE6" i="11"/>
  <c r="BN5" i="11"/>
  <c r="BK5" i="11"/>
  <c r="BH5" i="11"/>
  <c r="BG4" i="11"/>
  <c r="BB6" i="11"/>
  <c r="T35" i="8"/>
  <c r="U35" i="8" s="1"/>
  <c r="T38" i="8"/>
  <c r="U38" i="8" s="1"/>
  <c r="T39" i="8"/>
  <c r="U39" i="8" s="1"/>
  <c r="T37" i="8"/>
  <c r="U37" i="8" s="1"/>
  <c r="T36" i="8"/>
  <c r="U36" i="8" s="1"/>
  <c r="T40" i="8"/>
  <c r="U40" i="8" s="1"/>
  <c r="U47" i="8"/>
  <c r="G24" i="11"/>
  <c r="K25" i="11" s="1"/>
  <c r="U45" i="8"/>
  <c r="U46" i="8"/>
  <c r="U42" i="8"/>
  <c r="U44" i="8"/>
  <c r="U48" i="8"/>
  <c r="C95" i="8"/>
  <c r="B95" i="8"/>
  <c r="C29" i="10"/>
  <c r="C30" i="10" s="1"/>
  <c r="E40" i="2"/>
  <c r="E41" i="2"/>
  <c r="O97" i="22" l="1"/>
  <c r="P97" i="22"/>
  <c r="T97" i="22" s="1"/>
  <c r="N97" i="22"/>
  <c r="L97" i="22"/>
  <c r="V97" i="22" s="1"/>
  <c r="M97" i="22"/>
  <c r="S97" i="22"/>
  <c r="U97" i="22" s="1"/>
  <c r="C98" i="22" s="1"/>
  <c r="R97" i="22"/>
  <c r="Q97" i="22"/>
  <c r="P95" i="15"/>
  <c r="T95" i="15" s="1"/>
  <c r="W95" i="15" s="1"/>
  <c r="X95" i="15" s="1"/>
  <c r="O95" i="15"/>
  <c r="N95" i="15"/>
  <c r="S96" i="17"/>
  <c r="U96" i="17" s="1"/>
  <c r="C97" i="17" s="1"/>
  <c r="R96" i="17"/>
  <c r="M96" i="17"/>
  <c r="Q96" i="17"/>
  <c r="L96" i="17"/>
  <c r="V96" i="17" s="1"/>
  <c r="P96" i="17"/>
  <c r="T96" i="17" s="1"/>
  <c r="O96" i="17"/>
  <c r="N96" i="17"/>
  <c r="C20" i="8"/>
  <c r="C24" i="8"/>
  <c r="C71" i="8"/>
  <c r="E46" i="12"/>
  <c r="I69" i="8"/>
  <c r="BA4" i="11"/>
  <c r="BA3" i="11"/>
  <c r="AD7" i="11"/>
  <c r="AE7" i="11" s="1"/>
  <c r="BA16" i="11"/>
  <c r="AM2" i="11" s="1"/>
  <c r="AV5" i="11"/>
  <c r="AV6" i="11" s="1"/>
  <c r="AX4" i="11"/>
  <c r="BM16" i="11"/>
  <c r="AI7" i="11"/>
  <c r="AJ7" i="11" s="1"/>
  <c r="BM3" i="11"/>
  <c r="BJ4" i="11"/>
  <c r="AY6" i="11"/>
  <c r="AY7" i="11" s="1"/>
  <c r="AS6" i="11"/>
  <c r="AS7" i="11" s="1"/>
  <c r="AI6" i="11"/>
  <c r="AJ6" i="11" s="1"/>
  <c r="BJ3" i="11"/>
  <c r="BJ16" i="11"/>
  <c r="BJ5" i="11"/>
  <c r="BK6" i="11"/>
  <c r="BG5" i="11"/>
  <c r="BH6" i="11"/>
  <c r="BM5" i="11"/>
  <c r="BN6" i="11"/>
  <c r="BD6" i="11"/>
  <c r="BE7" i="11"/>
  <c r="BA6" i="11"/>
  <c r="BB7" i="11"/>
  <c r="I68" i="8"/>
  <c r="B98" i="22" l="1"/>
  <c r="D98" i="22" s="1"/>
  <c r="E98" i="22" s="1"/>
  <c r="F98" i="22" s="1"/>
  <c r="G98" i="22" s="1"/>
  <c r="H98" i="22" s="1"/>
  <c r="W97" i="22"/>
  <c r="X97" i="22" s="1"/>
  <c r="B96" i="15"/>
  <c r="D96" i="15" s="1"/>
  <c r="E96" i="15" s="1"/>
  <c r="F96" i="15" s="1"/>
  <c r="G96" i="15" s="1"/>
  <c r="H96" i="15" s="1"/>
  <c r="I96" i="15" s="1"/>
  <c r="J96" i="15" s="1"/>
  <c r="B97" i="17"/>
  <c r="D97" i="17" s="1"/>
  <c r="E97" i="17" s="1"/>
  <c r="F97" i="17" s="1"/>
  <c r="G97" i="17" s="1"/>
  <c r="H97" i="17" s="1"/>
  <c r="W96" i="17"/>
  <c r="X96" i="17" s="1"/>
  <c r="C62" i="8"/>
  <c r="D46" i="12"/>
  <c r="I46" i="12"/>
  <c r="AX6" i="11"/>
  <c r="AU5" i="11"/>
  <c r="AR6" i="11"/>
  <c r="AM3" i="11"/>
  <c r="AM6" i="11"/>
  <c r="R19" i="11"/>
  <c r="G23" i="11"/>
  <c r="T35" i="11" s="1"/>
  <c r="AS8" i="11"/>
  <c r="AR7" i="11"/>
  <c r="BK7" i="11"/>
  <c r="BJ6" i="11"/>
  <c r="BG6" i="11"/>
  <c r="BH7" i="11"/>
  <c r="BE8" i="11"/>
  <c r="BD7" i="11"/>
  <c r="BN7" i="11"/>
  <c r="BM6" i="11"/>
  <c r="AV7" i="11"/>
  <c r="AU6" i="11"/>
  <c r="BB8" i="11"/>
  <c r="BA7" i="11"/>
  <c r="AX7" i="11"/>
  <c r="AY8" i="11"/>
  <c r="D95" i="8"/>
  <c r="E95" i="8" s="1"/>
  <c r="F95" i="8" s="1"/>
  <c r="G95" i="8" s="1"/>
  <c r="H95" i="8" s="1"/>
  <c r="I18" i="10"/>
  <c r="J18" i="10" s="1"/>
  <c r="K18" i="10" s="1"/>
  <c r="L18" i="10" s="1"/>
  <c r="I16" i="10"/>
  <c r="J16" i="10" s="1"/>
  <c r="K16" i="10" s="1"/>
  <c r="L16" i="10" s="1"/>
  <c r="C5" i="10" s="1"/>
  <c r="I17" i="10"/>
  <c r="J17" i="10" s="1"/>
  <c r="K17" i="10" s="1"/>
  <c r="L17" i="10" s="1"/>
  <c r="K98" i="22" l="1"/>
  <c r="I98" i="22"/>
  <c r="J98" i="22" s="1"/>
  <c r="C31" i="10"/>
  <c r="K96" i="15"/>
  <c r="S96" i="15" s="1"/>
  <c r="U96" i="15" s="1"/>
  <c r="C97" i="15" s="1"/>
  <c r="K97" i="17"/>
  <c r="I97" i="17"/>
  <c r="J97" i="17" s="1"/>
  <c r="C65" i="8"/>
  <c r="O96" i="15"/>
  <c r="P96" i="15"/>
  <c r="T96" i="15" s="1"/>
  <c r="N96" i="15"/>
  <c r="L96" i="15"/>
  <c r="V96" i="15" s="1"/>
  <c r="AP2" i="11"/>
  <c r="AP3" i="11" s="1"/>
  <c r="AL2" i="11"/>
  <c r="AL3" i="11" s="1"/>
  <c r="C67" i="8"/>
  <c r="R69" i="11"/>
  <c r="BN8" i="11"/>
  <c r="BM7" i="11"/>
  <c r="BE9" i="11"/>
  <c r="BD8" i="11"/>
  <c r="BG7" i="11"/>
  <c r="BH8" i="11"/>
  <c r="BK8" i="11"/>
  <c r="BJ7" i="11"/>
  <c r="AV8" i="11"/>
  <c r="AU7" i="11"/>
  <c r="AS9" i="11"/>
  <c r="AR8" i="11"/>
  <c r="AY9" i="11"/>
  <c r="AX8" i="11"/>
  <c r="BB9" i="11"/>
  <c r="BA8" i="11"/>
  <c r="I95" i="8"/>
  <c r="J95" i="8" s="1"/>
  <c r="K95" i="8"/>
  <c r="P98" i="22" l="1"/>
  <c r="T98" i="22" s="1"/>
  <c r="O98" i="22"/>
  <c r="N98" i="22"/>
  <c r="L98" i="22"/>
  <c r="V98" i="22" s="1"/>
  <c r="S98" i="22"/>
  <c r="U98" i="22" s="1"/>
  <c r="C99" i="22" s="1"/>
  <c r="R98" i="22"/>
  <c r="Q98" i="22"/>
  <c r="M98" i="22"/>
  <c r="C32" i="10"/>
  <c r="C33" i="10" s="1"/>
  <c r="C35" i="10" s="1"/>
  <c r="Q96" i="15"/>
  <c r="M96" i="15"/>
  <c r="R96" i="15"/>
  <c r="L97" i="17"/>
  <c r="V97" i="17" s="1"/>
  <c r="P97" i="17"/>
  <c r="T97" i="17" s="1"/>
  <c r="O97" i="17"/>
  <c r="N97" i="17"/>
  <c r="R97" i="17"/>
  <c r="S97" i="17"/>
  <c r="U97" i="17" s="1"/>
  <c r="C98" i="17" s="1"/>
  <c r="Q97" i="17"/>
  <c r="M97" i="17"/>
  <c r="B97" i="15"/>
  <c r="D97" i="15" s="1"/>
  <c r="E97" i="15" s="1"/>
  <c r="F97" i="15" s="1"/>
  <c r="G97" i="15" s="1"/>
  <c r="H97" i="15" s="1"/>
  <c r="W96" i="15"/>
  <c r="X96" i="15" s="1"/>
  <c r="AL4" i="11"/>
  <c r="AM7" i="11"/>
  <c r="AM8" i="11" s="1"/>
  <c r="AM9" i="11" s="1"/>
  <c r="AM10" i="11" s="1"/>
  <c r="AM11" i="11" s="1"/>
  <c r="AM12" i="11" s="1"/>
  <c r="AM13" i="11" s="1"/>
  <c r="AM14" i="11" s="1"/>
  <c r="AM15" i="11" s="1"/>
  <c r="AM16" i="11" s="1"/>
  <c r="C53" i="8"/>
  <c r="AK3" i="11"/>
  <c r="R21" i="11"/>
  <c r="R25" i="11"/>
  <c r="AK4" i="11"/>
  <c r="AR9" i="11"/>
  <c r="AS10" i="11"/>
  <c r="BG8" i="11"/>
  <c r="BH9" i="11"/>
  <c r="AU8" i="11"/>
  <c r="AV9" i="11"/>
  <c r="BE10" i="11"/>
  <c r="BD9" i="11"/>
  <c r="BJ8" i="11"/>
  <c r="BK9" i="11"/>
  <c r="BM8" i="11"/>
  <c r="BN9" i="11"/>
  <c r="AY10" i="11"/>
  <c r="AX9" i="11"/>
  <c r="BB10" i="11"/>
  <c r="BA9" i="11"/>
  <c r="Q95" i="8"/>
  <c r="M95" i="8"/>
  <c r="S95" i="8" s="1"/>
  <c r="U95" i="8" s="1"/>
  <c r="C96" i="8" s="1"/>
  <c r="R95" i="8"/>
  <c r="O95" i="8"/>
  <c r="L95" i="8"/>
  <c r="N95" i="8"/>
  <c r="W98" i="22" l="1"/>
  <c r="X98" i="22" s="1"/>
  <c r="B99" i="22"/>
  <c r="D99" i="22" s="1"/>
  <c r="E99" i="22" s="1"/>
  <c r="F99" i="22" s="1"/>
  <c r="G99" i="22" s="1"/>
  <c r="H99" i="22" s="1"/>
  <c r="C34" i="10"/>
  <c r="C40" i="10" s="1"/>
  <c r="C41" i="10" s="1"/>
  <c r="B98" i="17"/>
  <c r="D98" i="17" s="1"/>
  <c r="E98" i="17" s="1"/>
  <c r="F98" i="17" s="1"/>
  <c r="G98" i="17" s="1"/>
  <c r="H98" i="17" s="1"/>
  <c r="W97" i="17"/>
  <c r="X97" i="17" s="1"/>
  <c r="C54" i="8"/>
  <c r="K97" i="15"/>
  <c r="I97" i="15"/>
  <c r="J97" i="15" s="1"/>
  <c r="AL5" i="11"/>
  <c r="AO3" i="11" s="1"/>
  <c r="R17" i="11"/>
  <c r="C46" i="8"/>
  <c r="AK5" i="11"/>
  <c r="BK10" i="11"/>
  <c r="BJ9" i="11"/>
  <c r="BM9" i="11"/>
  <c r="BN10" i="11"/>
  <c r="BG9" i="11"/>
  <c r="BH10" i="11"/>
  <c r="BE11" i="11"/>
  <c r="BD10" i="11"/>
  <c r="AU9" i="11"/>
  <c r="AV10" i="11"/>
  <c r="AR10" i="11"/>
  <c r="AS11" i="11"/>
  <c r="BA10" i="11"/>
  <c r="BB11" i="11"/>
  <c r="AX10" i="11"/>
  <c r="AY11" i="11"/>
  <c r="V95" i="8"/>
  <c r="P95" i="8"/>
  <c r="T95" i="8" s="1"/>
  <c r="C47" i="10"/>
  <c r="A48" i="10"/>
  <c r="K99" i="22" l="1"/>
  <c r="I99" i="22"/>
  <c r="J99" i="22" s="1"/>
  <c r="K98" i="17"/>
  <c r="I98" i="17"/>
  <c r="J98" i="17" s="1"/>
  <c r="S97" i="15"/>
  <c r="U97" i="15" s="1"/>
  <c r="C98" i="15" s="1"/>
  <c r="R97" i="15"/>
  <c r="Q97" i="15"/>
  <c r="M97" i="15"/>
  <c r="N97" i="15"/>
  <c r="L97" i="15"/>
  <c r="V97" i="15" s="1"/>
  <c r="P97" i="15"/>
  <c r="T97" i="15" s="1"/>
  <c r="O97" i="15"/>
  <c r="AO4" i="11"/>
  <c r="C45" i="8"/>
  <c r="I66" i="8"/>
  <c r="C60" i="8"/>
  <c r="R18" i="11"/>
  <c r="AR11" i="11"/>
  <c r="AS12" i="11"/>
  <c r="AV11" i="11"/>
  <c r="AU10" i="11"/>
  <c r="BM10" i="11"/>
  <c r="BN11" i="11"/>
  <c r="BE12" i="11"/>
  <c r="BD11" i="11"/>
  <c r="BG10" i="11"/>
  <c r="BH11" i="11"/>
  <c r="BK11" i="11"/>
  <c r="BJ10" i="11"/>
  <c r="AY12" i="11"/>
  <c r="AX11" i="11"/>
  <c r="BB12" i="11"/>
  <c r="BA11" i="11"/>
  <c r="W95" i="8"/>
  <c r="X95" i="8" s="1"/>
  <c r="B96" i="8"/>
  <c r="D96" i="8" s="1"/>
  <c r="E96" i="8" s="1"/>
  <c r="F96" i="8" s="1"/>
  <c r="G96" i="8" s="1"/>
  <c r="H96" i="8" s="1"/>
  <c r="O99" i="22" l="1"/>
  <c r="P99" i="22"/>
  <c r="T99" i="22" s="1"/>
  <c r="N99" i="22"/>
  <c r="L99" i="22"/>
  <c r="V99" i="22" s="1"/>
  <c r="Q99" i="22"/>
  <c r="M99" i="22"/>
  <c r="S99" i="22"/>
  <c r="U99" i="22" s="1"/>
  <c r="C100" i="22" s="1"/>
  <c r="R99" i="22"/>
  <c r="P98" i="17"/>
  <c r="T98" i="17" s="1"/>
  <c r="O98" i="17"/>
  <c r="N98" i="17"/>
  <c r="L98" i="17"/>
  <c r="V98" i="17" s="1"/>
  <c r="Q98" i="17"/>
  <c r="M98" i="17"/>
  <c r="S98" i="17"/>
  <c r="U98" i="17" s="1"/>
  <c r="C99" i="17" s="1"/>
  <c r="R98" i="17"/>
  <c r="B98" i="15"/>
  <c r="D98" i="15" s="1"/>
  <c r="E98" i="15" s="1"/>
  <c r="F98" i="15" s="1"/>
  <c r="G98" i="15" s="1"/>
  <c r="H98" i="15" s="1"/>
  <c r="W97" i="15"/>
  <c r="X97" i="15" s="1"/>
  <c r="I67" i="8"/>
  <c r="BK12" i="11"/>
  <c r="BJ11" i="11"/>
  <c r="BH12" i="11"/>
  <c r="BG11" i="11"/>
  <c r="BM11" i="11"/>
  <c r="BN12" i="11"/>
  <c r="BD12" i="11"/>
  <c r="BE13" i="11"/>
  <c r="AU11" i="11"/>
  <c r="AV12" i="11"/>
  <c r="AS13" i="11"/>
  <c r="AR12" i="11"/>
  <c r="BB13" i="11"/>
  <c r="BA12" i="11"/>
  <c r="AY13" i="11"/>
  <c r="AX12" i="11"/>
  <c r="I96" i="8"/>
  <c r="J96" i="8" s="1"/>
  <c r="K96" i="8"/>
  <c r="B100" i="22" l="1"/>
  <c r="D100" i="22" s="1"/>
  <c r="E100" i="22" s="1"/>
  <c r="F100" i="22" s="1"/>
  <c r="G100" i="22" s="1"/>
  <c r="H100" i="22" s="1"/>
  <c r="W99" i="22"/>
  <c r="X99" i="22" s="1"/>
  <c r="B99" i="17"/>
  <c r="D99" i="17" s="1"/>
  <c r="E99" i="17" s="1"/>
  <c r="F99" i="17" s="1"/>
  <c r="G99" i="17" s="1"/>
  <c r="H99" i="17" s="1"/>
  <c r="W98" i="17"/>
  <c r="X98" i="17" s="1"/>
  <c r="C23" i="8"/>
  <c r="K98" i="15"/>
  <c r="I98" i="15"/>
  <c r="J98" i="15" s="1"/>
  <c r="AS14" i="11"/>
  <c r="AR13" i="11"/>
  <c r="BD13" i="11"/>
  <c r="BE14" i="11"/>
  <c r="BN13" i="11"/>
  <c r="BM12" i="11"/>
  <c r="AV13" i="11"/>
  <c r="AU12" i="11"/>
  <c r="BG12" i="11"/>
  <c r="BH13" i="11"/>
  <c r="BJ12" i="11"/>
  <c r="BK13" i="11"/>
  <c r="BA13" i="11"/>
  <c r="BB14" i="11"/>
  <c r="AX13" i="11"/>
  <c r="AY14" i="11"/>
  <c r="R96" i="8"/>
  <c r="M96" i="8"/>
  <c r="S96" i="8" s="1"/>
  <c r="U96" i="8" s="1"/>
  <c r="C97" i="8" s="1"/>
  <c r="Q96" i="8"/>
  <c r="O96" i="8"/>
  <c r="N96" i="8"/>
  <c r="L96" i="8"/>
  <c r="K100" i="22" l="1"/>
  <c r="I100" i="22"/>
  <c r="J100" i="22" s="1"/>
  <c r="K99" i="17"/>
  <c r="I99" i="17"/>
  <c r="J99" i="17" s="1"/>
  <c r="C72" i="8"/>
  <c r="C73" i="8"/>
  <c r="L98" i="15"/>
  <c r="V98" i="15" s="1"/>
  <c r="P98" i="15"/>
  <c r="T98" i="15" s="1"/>
  <c r="O98" i="15"/>
  <c r="N98" i="15"/>
  <c r="M98" i="15"/>
  <c r="S98" i="15"/>
  <c r="U98" i="15" s="1"/>
  <c r="C99" i="15" s="1"/>
  <c r="R98" i="15"/>
  <c r="Q98" i="15"/>
  <c r="BK14" i="11"/>
  <c r="BJ13" i="11"/>
  <c r="BH14" i="11"/>
  <c r="BG13" i="11"/>
  <c r="BD14" i="11"/>
  <c r="BE15" i="11"/>
  <c r="BD15" i="11" s="1"/>
  <c r="AU13" i="11"/>
  <c r="AV14" i="11"/>
  <c r="BN14" i="11"/>
  <c r="BM13" i="11"/>
  <c r="AS15" i="11"/>
  <c r="AR15" i="11" s="1"/>
  <c r="AR14" i="11"/>
  <c r="AY15" i="11"/>
  <c r="AX15" i="11" s="1"/>
  <c r="AX14" i="11"/>
  <c r="BA14" i="11"/>
  <c r="BB15" i="11"/>
  <c r="BA15" i="11" s="1"/>
  <c r="V96" i="8"/>
  <c r="P96" i="8"/>
  <c r="T96" i="8" s="1"/>
  <c r="B97" i="8" s="1"/>
  <c r="D97" i="8" s="1"/>
  <c r="E97" i="8" s="1"/>
  <c r="F97" i="8" s="1"/>
  <c r="G97" i="8" s="1"/>
  <c r="H97" i="8" s="1"/>
  <c r="N100" i="22" l="1"/>
  <c r="P100" i="22"/>
  <c r="T100" i="22" s="1"/>
  <c r="O100" i="22"/>
  <c r="L100" i="22"/>
  <c r="V100" i="22" s="1"/>
  <c r="S100" i="22"/>
  <c r="U100" i="22" s="1"/>
  <c r="C101" i="22" s="1"/>
  <c r="R100" i="22"/>
  <c r="Q100" i="22"/>
  <c r="M100" i="22"/>
  <c r="N99" i="17"/>
  <c r="L99" i="17"/>
  <c r="V99" i="17" s="1"/>
  <c r="P99" i="17"/>
  <c r="T99" i="17" s="1"/>
  <c r="O99" i="17"/>
  <c r="S99" i="17"/>
  <c r="U99" i="17" s="1"/>
  <c r="C100" i="17" s="1"/>
  <c r="Q99" i="17"/>
  <c r="R99" i="17"/>
  <c r="M99" i="17"/>
  <c r="T21" i="11"/>
  <c r="W98" i="15"/>
  <c r="X98" i="15" s="1"/>
  <c r="B99" i="15"/>
  <c r="D99" i="15" s="1"/>
  <c r="E99" i="15" s="1"/>
  <c r="F99" i="15" s="1"/>
  <c r="G99" i="15" s="1"/>
  <c r="H99" i="15" s="1"/>
  <c r="R23" i="11"/>
  <c r="AA6" i="5"/>
  <c r="BM14" i="11"/>
  <c r="BN15" i="11"/>
  <c r="BM15" i="11" s="1"/>
  <c r="BH15" i="11"/>
  <c r="BG15" i="11" s="1"/>
  <c r="BG14" i="11"/>
  <c r="AV15" i="11"/>
  <c r="AU15" i="11" s="1"/>
  <c r="AU14" i="11"/>
  <c r="BJ14" i="11"/>
  <c r="BK15" i="11"/>
  <c r="BJ15" i="11" s="1"/>
  <c r="W96" i="8"/>
  <c r="X96" i="8" s="1"/>
  <c r="K97" i="8"/>
  <c r="I97" i="8"/>
  <c r="J97" i="8" s="1"/>
  <c r="B101" i="22" l="1"/>
  <c r="D101" i="22" s="1"/>
  <c r="E101" i="22" s="1"/>
  <c r="F101" i="22" s="1"/>
  <c r="G101" i="22" s="1"/>
  <c r="H101" i="22" s="1"/>
  <c r="W100" i="22"/>
  <c r="X100" i="22" s="1"/>
  <c r="B100" i="17"/>
  <c r="D100" i="17" s="1"/>
  <c r="E100" i="17" s="1"/>
  <c r="F100" i="17" s="1"/>
  <c r="G100" i="17" s="1"/>
  <c r="H100" i="17" s="1"/>
  <c r="W99" i="17"/>
  <c r="X99" i="17" s="1"/>
  <c r="I99" i="15"/>
  <c r="J99" i="15" s="1"/>
  <c r="K99" i="15"/>
  <c r="O97" i="8"/>
  <c r="L97" i="8"/>
  <c r="N97" i="8"/>
  <c r="R97" i="8"/>
  <c r="Q97" i="8"/>
  <c r="M97" i="8"/>
  <c r="S97" i="8" s="1"/>
  <c r="U97" i="8" s="1"/>
  <c r="C98" i="8" s="1"/>
  <c r="K101" i="22" l="1"/>
  <c r="I101" i="22"/>
  <c r="J101" i="22" s="1"/>
  <c r="K100" i="17"/>
  <c r="I100" i="17"/>
  <c r="J100" i="17" s="1"/>
  <c r="S99" i="15"/>
  <c r="U99" i="15" s="1"/>
  <c r="C100" i="15" s="1"/>
  <c r="R99" i="15"/>
  <c r="Q99" i="15"/>
  <c r="M99" i="15"/>
  <c r="P99" i="15"/>
  <c r="T99" i="15" s="1"/>
  <c r="O99" i="15"/>
  <c r="N99" i="15"/>
  <c r="L99" i="15"/>
  <c r="V99" i="15" s="1"/>
  <c r="V97" i="8"/>
  <c r="P97" i="8"/>
  <c r="T97" i="8" s="1"/>
  <c r="B98" i="8" s="1"/>
  <c r="D98" i="8" s="1"/>
  <c r="E98" i="8" s="1"/>
  <c r="F98" i="8" s="1"/>
  <c r="G98" i="8" s="1"/>
  <c r="H98" i="8" s="1"/>
  <c r="P101" i="22" l="1"/>
  <c r="T101" i="22" s="1"/>
  <c r="O101" i="22"/>
  <c r="N101" i="22"/>
  <c r="L101" i="22"/>
  <c r="V101" i="22" s="1"/>
  <c r="Q101" i="22"/>
  <c r="S101" i="22"/>
  <c r="U101" i="22" s="1"/>
  <c r="C102" i="22" s="1"/>
  <c r="R101" i="22"/>
  <c r="M101" i="22"/>
  <c r="L100" i="17"/>
  <c r="V100" i="17" s="1"/>
  <c r="P100" i="17"/>
  <c r="T100" i="17" s="1"/>
  <c r="O100" i="17"/>
  <c r="N100" i="17"/>
  <c r="M100" i="17"/>
  <c r="S100" i="17"/>
  <c r="U100" i="17" s="1"/>
  <c r="C101" i="17" s="1"/>
  <c r="R100" i="17"/>
  <c r="Q100" i="17"/>
  <c r="W99" i="15"/>
  <c r="X99" i="15" s="1"/>
  <c r="B100" i="15"/>
  <c r="D100" i="15" s="1"/>
  <c r="E100" i="15" s="1"/>
  <c r="F100" i="15" s="1"/>
  <c r="G100" i="15" s="1"/>
  <c r="H100" i="15" s="1"/>
  <c r="W97" i="8"/>
  <c r="X97" i="8" s="1"/>
  <c r="K98" i="8"/>
  <c r="I98" i="8"/>
  <c r="J98" i="8" s="1"/>
  <c r="B102" i="22" l="1"/>
  <c r="D102" i="22" s="1"/>
  <c r="E102" i="22" s="1"/>
  <c r="F102" i="22" s="1"/>
  <c r="G102" i="22" s="1"/>
  <c r="H102" i="22" s="1"/>
  <c r="W101" i="22"/>
  <c r="X101" i="22" s="1"/>
  <c r="W100" i="17"/>
  <c r="X100" i="17" s="1"/>
  <c r="B101" i="17"/>
  <c r="D101" i="17" s="1"/>
  <c r="E101" i="17" s="1"/>
  <c r="F101" i="17" s="1"/>
  <c r="G101" i="17" s="1"/>
  <c r="H101" i="17" s="1"/>
  <c r="I100" i="15"/>
  <c r="J100" i="15" s="1"/>
  <c r="K100" i="15"/>
  <c r="N98" i="8"/>
  <c r="L98" i="8"/>
  <c r="O98" i="8"/>
  <c r="S98" i="8"/>
  <c r="U98" i="8" s="1"/>
  <c r="C99" i="8" s="1"/>
  <c r="M98" i="8"/>
  <c r="R98" i="8"/>
  <c r="Q98" i="8"/>
  <c r="K102" i="22" l="1"/>
  <c r="I102" i="22"/>
  <c r="J102" i="22" s="1"/>
  <c r="K101" i="17"/>
  <c r="I101" i="17"/>
  <c r="J101" i="17" s="1"/>
  <c r="R100" i="15"/>
  <c r="Q100" i="15"/>
  <c r="S100" i="15"/>
  <c r="U100" i="15" s="1"/>
  <c r="C101" i="15" s="1"/>
  <c r="M100" i="15"/>
  <c r="P100" i="15"/>
  <c r="T100" i="15" s="1"/>
  <c r="O100" i="15"/>
  <c r="N100" i="15"/>
  <c r="L100" i="15"/>
  <c r="V100" i="15" s="1"/>
  <c r="V98" i="8"/>
  <c r="P98" i="8"/>
  <c r="T98" i="8" s="1"/>
  <c r="W98" i="8" s="1"/>
  <c r="X98" i="8" s="1"/>
  <c r="P102" i="22" l="1"/>
  <c r="T102" i="22" s="1"/>
  <c r="O102" i="22"/>
  <c r="N102" i="22"/>
  <c r="L102" i="22"/>
  <c r="V102" i="22" s="1"/>
  <c r="S102" i="22"/>
  <c r="U102" i="22" s="1"/>
  <c r="C103" i="22" s="1"/>
  <c r="M102" i="22"/>
  <c r="Q102" i="22"/>
  <c r="R102" i="22"/>
  <c r="P101" i="17"/>
  <c r="T101" i="17" s="1"/>
  <c r="O101" i="17"/>
  <c r="N101" i="17"/>
  <c r="L101" i="17"/>
  <c r="V101" i="17" s="1"/>
  <c r="S101" i="17"/>
  <c r="U101" i="17" s="1"/>
  <c r="C102" i="17" s="1"/>
  <c r="R101" i="17"/>
  <c r="Q101" i="17"/>
  <c r="M101" i="17"/>
  <c r="B101" i="15"/>
  <c r="D101" i="15" s="1"/>
  <c r="E101" i="15" s="1"/>
  <c r="F101" i="15" s="1"/>
  <c r="G101" i="15" s="1"/>
  <c r="H101" i="15" s="1"/>
  <c r="W100" i="15"/>
  <c r="X100" i="15" s="1"/>
  <c r="B99" i="8"/>
  <c r="D99" i="8" s="1"/>
  <c r="E99" i="8" s="1"/>
  <c r="F99" i="8" s="1"/>
  <c r="G99" i="8" s="1"/>
  <c r="H99" i="8" s="1"/>
  <c r="I99" i="8" s="1"/>
  <c r="J99" i="8" s="1"/>
  <c r="B103" i="22" l="1"/>
  <c r="D103" i="22" s="1"/>
  <c r="E103" i="22" s="1"/>
  <c r="F103" i="22" s="1"/>
  <c r="G103" i="22" s="1"/>
  <c r="H103" i="22" s="1"/>
  <c r="W102" i="22"/>
  <c r="X102" i="22" s="1"/>
  <c r="B102" i="17"/>
  <c r="D102" i="17" s="1"/>
  <c r="E102" i="17" s="1"/>
  <c r="F102" i="17" s="1"/>
  <c r="G102" i="17" s="1"/>
  <c r="H102" i="17" s="1"/>
  <c r="W101" i="17"/>
  <c r="X101" i="17" s="1"/>
  <c r="K101" i="15"/>
  <c r="I101" i="15"/>
  <c r="J101" i="15" s="1"/>
  <c r="K99" i="8"/>
  <c r="Q99" i="8" s="1"/>
  <c r="O99" i="8"/>
  <c r="L99" i="8"/>
  <c r="N99" i="8"/>
  <c r="I103" i="22" l="1"/>
  <c r="J103" i="22" s="1"/>
  <c r="K103" i="22"/>
  <c r="I102" i="17"/>
  <c r="J102" i="17" s="1"/>
  <c r="K102" i="17"/>
  <c r="L101" i="15"/>
  <c r="V101" i="15" s="1"/>
  <c r="P101" i="15"/>
  <c r="T101" i="15" s="1"/>
  <c r="O101" i="15"/>
  <c r="N101" i="15"/>
  <c r="R101" i="15"/>
  <c r="S101" i="15"/>
  <c r="U101" i="15" s="1"/>
  <c r="C102" i="15" s="1"/>
  <c r="Q101" i="15"/>
  <c r="M101" i="15"/>
  <c r="M99" i="8"/>
  <c r="V99" i="8" s="1"/>
  <c r="S99" i="8"/>
  <c r="U99" i="8" s="1"/>
  <c r="C100" i="8" s="1"/>
  <c r="R99" i="8"/>
  <c r="P99" i="8"/>
  <c r="T99" i="8" s="1"/>
  <c r="B100" i="8" s="1"/>
  <c r="D100" i="8" s="1"/>
  <c r="E100" i="8" s="1"/>
  <c r="F100" i="8" s="1"/>
  <c r="G100" i="8" s="1"/>
  <c r="H100" i="8" s="1"/>
  <c r="S103" i="22" l="1"/>
  <c r="U103" i="22" s="1"/>
  <c r="C104" i="22" s="1"/>
  <c r="R103" i="22"/>
  <c r="Q103" i="22"/>
  <c r="M103" i="22"/>
  <c r="P103" i="22"/>
  <c r="T103" i="22" s="1"/>
  <c r="O103" i="22"/>
  <c r="N103" i="22"/>
  <c r="L103" i="22"/>
  <c r="V103" i="22" s="1"/>
  <c r="Q102" i="17"/>
  <c r="M102" i="17"/>
  <c r="S102" i="17"/>
  <c r="U102" i="17" s="1"/>
  <c r="C103" i="17" s="1"/>
  <c r="R102" i="17"/>
  <c r="O102" i="17"/>
  <c r="P102" i="17"/>
  <c r="T102" i="17" s="1"/>
  <c r="N102" i="17"/>
  <c r="L102" i="17"/>
  <c r="V102" i="17" s="1"/>
  <c r="B102" i="15"/>
  <c r="D102" i="15" s="1"/>
  <c r="E102" i="15" s="1"/>
  <c r="F102" i="15" s="1"/>
  <c r="G102" i="15" s="1"/>
  <c r="H102" i="15" s="1"/>
  <c r="W101" i="15"/>
  <c r="X101" i="15" s="1"/>
  <c r="W99" i="8"/>
  <c r="X99" i="8" s="1"/>
  <c r="K100" i="8"/>
  <c r="I100" i="8"/>
  <c r="J100" i="8" s="1"/>
  <c r="B104" i="22" l="1"/>
  <c r="D104" i="22" s="1"/>
  <c r="E104" i="22" s="1"/>
  <c r="F104" i="22" s="1"/>
  <c r="G104" i="22" s="1"/>
  <c r="H104" i="22" s="1"/>
  <c r="W103" i="22"/>
  <c r="X103" i="22" s="1"/>
  <c r="B103" i="17"/>
  <c r="D103" i="17" s="1"/>
  <c r="E103" i="17" s="1"/>
  <c r="F103" i="17" s="1"/>
  <c r="G103" i="17" s="1"/>
  <c r="H103" i="17" s="1"/>
  <c r="W102" i="17"/>
  <c r="X102" i="17" s="1"/>
  <c r="K102" i="15"/>
  <c r="I102" i="15"/>
  <c r="J102" i="15" s="1"/>
  <c r="O100" i="8"/>
  <c r="N100" i="8"/>
  <c r="L100" i="8"/>
  <c r="P100" i="8" s="1"/>
  <c r="T100" i="8" s="1"/>
  <c r="S100" i="8"/>
  <c r="U100" i="8" s="1"/>
  <c r="C101" i="8" s="1"/>
  <c r="Q100" i="8"/>
  <c r="R100" i="8"/>
  <c r="M100" i="8"/>
  <c r="K104" i="22" l="1"/>
  <c r="I104" i="22"/>
  <c r="J104" i="22" s="1"/>
  <c r="K103" i="17"/>
  <c r="I103" i="17"/>
  <c r="J103" i="17" s="1"/>
  <c r="P102" i="15"/>
  <c r="T102" i="15" s="1"/>
  <c r="O102" i="15"/>
  <c r="N102" i="15"/>
  <c r="L102" i="15"/>
  <c r="V102" i="15" s="1"/>
  <c r="Q102" i="15"/>
  <c r="M102" i="15"/>
  <c r="S102" i="15"/>
  <c r="U102" i="15" s="1"/>
  <c r="C103" i="15" s="1"/>
  <c r="R102" i="15"/>
  <c r="V100" i="8"/>
  <c r="B101" i="8"/>
  <c r="D101" i="8" s="1"/>
  <c r="E101" i="8" s="1"/>
  <c r="F101" i="8" s="1"/>
  <c r="G101" i="8" s="1"/>
  <c r="H101" i="8" s="1"/>
  <c r="W100" i="8"/>
  <c r="L104" i="22" l="1"/>
  <c r="V104" i="22" s="1"/>
  <c r="P104" i="22"/>
  <c r="T104" i="22" s="1"/>
  <c r="O104" i="22"/>
  <c r="N104" i="22"/>
  <c r="S104" i="22"/>
  <c r="U104" i="22" s="1"/>
  <c r="C105" i="22" s="1"/>
  <c r="R104" i="22"/>
  <c r="Q104" i="22"/>
  <c r="M104" i="22"/>
  <c r="L103" i="17"/>
  <c r="V103" i="17" s="1"/>
  <c r="P103" i="17"/>
  <c r="T103" i="17" s="1"/>
  <c r="O103" i="17"/>
  <c r="N103" i="17"/>
  <c r="R103" i="17"/>
  <c r="S103" i="17"/>
  <c r="U103" i="17" s="1"/>
  <c r="C104" i="17" s="1"/>
  <c r="Q103" i="17"/>
  <c r="M103" i="17"/>
  <c r="W102" i="15"/>
  <c r="X102" i="15" s="1"/>
  <c r="B103" i="15"/>
  <c r="D103" i="15" s="1"/>
  <c r="E103" i="15" s="1"/>
  <c r="F103" i="15" s="1"/>
  <c r="G103" i="15" s="1"/>
  <c r="H103" i="15" s="1"/>
  <c r="X100" i="8"/>
  <c r="K101" i="8"/>
  <c r="I101" i="8"/>
  <c r="J101" i="8" s="1"/>
  <c r="B105" i="22" l="1"/>
  <c r="D105" i="22" s="1"/>
  <c r="E105" i="22" s="1"/>
  <c r="F105" i="22" s="1"/>
  <c r="G105" i="22" s="1"/>
  <c r="H105" i="22" s="1"/>
  <c r="W104" i="22"/>
  <c r="X104" i="22" s="1"/>
  <c r="B104" i="17"/>
  <c r="D104" i="17" s="1"/>
  <c r="E104" i="17" s="1"/>
  <c r="F104" i="17" s="1"/>
  <c r="G104" i="17" s="1"/>
  <c r="H104" i="17" s="1"/>
  <c r="W103" i="17"/>
  <c r="X103" i="17" s="1"/>
  <c r="K103" i="15"/>
  <c r="I103" i="15"/>
  <c r="J103" i="15" s="1"/>
  <c r="N101" i="8"/>
  <c r="O101" i="8"/>
  <c r="L101" i="8"/>
  <c r="S101" i="8"/>
  <c r="U101" i="8" s="1"/>
  <c r="C102" i="8" s="1"/>
  <c r="R101" i="8"/>
  <c r="M101" i="8"/>
  <c r="Q101" i="8"/>
  <c r="K105" i="22" l="1"/>
  <c r="I105" i="22"/>
  <c r="J105" i="22" s="1"/>
  <c r="K104" i="17"/>
  <c r="I104" i="17"/>
  <c r="J104" i="17" s="1"/>
  <c r="P103" i="15"/>
  <c r="T103" i="15" s="1"/>
  <c r="O103" i="15"/>
  <c r="N103" i="15"/>
  <c r="L103" i="15"/>
  <c r="V103" i="15" s="1"/>
  <c r="Q103" i="15"/>
  <c r="M103" i="15"/>
  <c r="S103" i="15"/>
  <c r="U103" i="15" s="1"/>
  <c r="C104" i="15" s="1"/>
  <c r="R103" i="15"/>
  <c r="V101" i="8"/>
  <c r="P101" i="8"/>
  <c r="T101" i="8" s="1"/>
  <c r="B102" i="8" s="1"/>
  <c r="D102" i="8" s="1"/>
  <c r="E102" i="8" s="1"/>
  <c r="F102" i="8" s="1"/>
  <c r="G102" i="8" s="1"/>
  <c r="H102" i="8" s="1"/>
  <c r="O105" i="22" l="1"/>
  <c r="N105" i="22"/>
  <c r="L105" i="22"/>
  <c r="V105" i="22" s="1"/>
  <c r="P105" i="22"/>
  <c r="T105" i="22" s="1"/>
  <c r="M105" i="22"/>
  <c r="R105" i="22"/>
  <c r="S105" i="22"/>
  <c r="U105" i="22" s="1"/>
  <c r="C106" i="22" s="1"/>
  <c r="Q105" i="22"/>
  <c r="O104" i="17"/>
  <c r="P104" i="17"/>
  <c r="T104" i="17" s="1"/>
  <c r="N104" i="17"/>
  <c r="L104" i="17"/>
  <c r="V104" i="17" s="1"/>
  <c r="Q104" i="17"/>
  <c r="S104" i="17"/>
  <c r="U104" i="17" s="1"/>
  <c r="C105" i="17" s="1"/>
  <c r="R104" i="17"/>
  <c r="M104" i="17"/>
  <c r="B104" i="15"/>
  <c r="D104" i="15" s="1"/>
  <c r="E104" i="15" s="1"/>
  <c r="F104" i="15" s="1"/>
  <c r="G104" i="15" s="1"/>
  <c r="H104" i="15" s="1"/>
  <c r="W103" i="15"/>
  <c r="X103" i="15" s="1"/>
  <c r="W101" i="8"/>
  <c r="X101" i="8" s="1"/>
  <c r="I102" i="8"/>
  <c r="J102" i="8" s="1"/>
  <c r="K102" i="8"/>
  <c r="B106" i="22" l="1"/>
  <c r="D106" i="22" s="1"/>
  <c r="E106" i="22" s="1"/>
  <c r="F106" i="22" s="1"/>
  <c r="G106" i="22" s="1"/>
  <c r="H106" i="22" s="1"/>
  <c r="W105" i="22"/>
  <c r="X105" i="22" s="1"/>
  <c r="B105" i="17"/>
  <c r="D105" i="17" s="1"/>
  <c r="E105" i="17" s="1"/>
  <c r="F105" i="17" s="1"/>
  <c r="G105" i="17" s="1"/>
  <c r="H105" i="17" s="1"/>
  <c r="W104" i="17"/>
  <c r="X104" i="17" s="1"/>
  <c r="K104" i="15"/>
  <c r="I104" i="15"/>
  <c r="J104" i="15" s="1"/>
  <c r="S102" i="8"/>
  <c r="U102" i="8" s="1"/>
  <c r="C103" i="8" s="1"/>
  <c r="Q102" i="8"/>
  <c r="R102" i="8"/>
  <c r="M102" i="8"/>
  <c r="O102" i="8"/>
  <c r="N102" i="8"/>
  <c r="L102" i="8"/>
  <c r="V102" i="8" s="1"/>
  <c r="I106" i="22" l="1"/>
  <c r="J106" i="22" s="1"/>
  <c r="K106" i="22"/>
  <c r="I105" i="17"/>
  <c r="J105" i="17" s="1"/>
  <c r="K105" i="17"/>
  <c r="O104" i="15"/>
  <c r="N104" i="15"/>
  <c r="L104" i="15"/>
  <c r="V104" i="15" s="1"/>
  <c r="P104" i="15"/>
  <c r="T104" i="15" s="1"/>
  <c r="M104" i="15"/>
  <c r="S104" i="15"/>
  <c r="U104" i="15" s="1"/>
  <c r="C105" i="15" s="1"/>
  <c r="Q104" i="15"/>
  <c r="R104" i="15"/>
  <c r="P102" i="8"/>
  <c r="T102" i="8" s="1"/>
  <c r="B103" i="8" s="1"/>
  <c r="D103" i="8" s="1"/>
  <c r="E103" i="8" s="1"/>
  <c r="F103" i="8" s="1"/>
  <c r="G103" i="8" s="1"/>
  <c r="H103" i="8" s="1"/>
  <c r="S106" i="22" l="1"/>
  <c r="U106" i="22" s="1"/>
  <c r="C107" i="22" s="1"/>
  <c r="R106" i="22"/>
  <c r="Q106" i="22"/>
  <c r="M106" i="22"/>
  <c r="N106" i="22"/>
  <c r="L106" i="22"/>
  <c r="V106" i="22" s="1"/>
  <c r="P106" i="22"/>
  <c r="T106" i="22" s="1"/>
  <c r="O106" i="22"/>
  <c r="S105" i="17"/>
  <c r="U105" i="17" s="1"/>
  <c r="C106" i="17" s="1"/>
  <c r="R105" i="17"/>
  <c r="Q105" i="17"/>
  <c r="M105" i="17"/>
  <c r="P105" i="17"/>
  <c r="T105" i="17" s="1"/>
  <c r="O105" i="17"/>
  <c r="N105" i="17"/>
  <c r="L105" i="17"/>
  <c r="V105" i="17" s="1"/>
  <c r="B105" i="15"/>
  <c r="D105" i="15" s="1"/>
  <c r="E105" i="15" s="1"/>
  <c r="F105" i="15" s="1"/>
  <c r="G105" i="15" s="1"/>
  <c r="H105" i="15" s="1"/>
  <c r="W104" i="15"/>
  <c r="X104" i="15" s="1"/>
  <c r="W102" i="8"/>
  <c r="X102" i="8" s="1"/>
  <c r="K103" i="8"/>
  <c r="I103" i="8"/>
  <c r="J103" i="8" s="1"/>
  <c r="B107" i="22" l="1"/>
  <c r="D107" i="22" s="1"/>
  <c r="E107" i="22" s="1"/>
  <c r="F107" i="22" s="1"/>
  <c r="G107" i="22" s="1"/>
  <c r="H107" i="22" s="1"/>
  <c r="W106" i="22"/>
  <c r="X106" i="22" s="1"/>
  <c r="W105" i="17"/>
  <c r="X105" i="17" s="1"/>
  <c r="B106" i="17"/>
  <c r="D106" i="17" s="1"/>
  <c r="E106" i="17" s="1"/>
  <c r="F106" i="17" s="1"/>
  <c r="G106" i="17" s="1"/>
  <c r="H106" i="17" s="1"/>
  <c r="K105" i="15"/>
  <c r="I105" i="15"/>
  <c r="J105" i="15" s="1"/>
  <c r="O103" i="8"/>
  <c r="N103" i="8"/>
  <c r="L103" i="8"/>
  <c r="S103" i="8"/>
  <c r="U103" i="8" s="1"/>
  <c r="C104" i="8" s="1"/>
  <c r="R103" i="8"/>
  <c r="Q103" i="8"/>
  <c r="M103" i="8"/>
  <c r="K107" i="22" l="1"/>
  <c r="I107" i="22"/>
  <c r="J107" i="22" s="1"/>
  <c r="K106" i="17"/>
  <c r="I106" i="17"/>
  <c r="J106" i="17" s="1"/>
  <c r="L105" i="15"/>
  <c r="V105" i="15" s="1"/>
  <c r="P105" i="15"/>
  <c r="T105" i="15" s="1"/>
  <c r="N105" i="15"/>
  <c r="O105" i="15"/>
  <c r="Q105" i="15"/>
  <c r="S105" i="15"/>
  <c r="U105" i="15" s="1"/>
  <c r="C106" i="15" s="1"/>
  <c r="R105" i="15"/>
  <c r="M105" i="15"/>
  <c r="V103" i="8"/>
  <c r="P103" i="8"/>
  <c r="T103" i="8" s="1"/>
  <c r="W103" i="8" s="1"/>
  <c r="P107" i="22" l="1"/>
  <c r="T107" i="22" s="1"/>
  <c r="O107" i="22"/>
  <c r="N107" i="22"/>
  <c r="L107" i="22"/>
  <c r="V107" i="22" s="1"/>
  <c r="S107" i="22"/>
  <c r="U107" i="22" s="1"/>
  <c r="C108" i="22" s="1"/>
  <c r="R107" i="22"/>
  <c r="Q107" i="22"/>
  <c r="M107" i="22"/>
  <c r="P106" i="17"/>
  <c r="T106" i="17" s="1"/>
  <c r="O106" i="17"/>
  <c r="N106" i="17"/>
  <c r="L106" i="17"/>
  <c r="V106" i="17" s="1"/>
  <c r="S106" i="17"/>
  <c r="U106" i="17" s="1"/>
  <c r="C107" i="17" s="1"/>
  <c r="Q106" i="17"/>
  <c r="M106" i="17"/>
  <c r="R106" i="17"/>
  <c r="W105" i="15"/>
  <c r="X105" i="15" s="1"/>
  <c r="B106" i="15"/>
  <c r="D106" i="15" s="1"/>
  <c r="E106" i="15" s="1"/>
  <c r="F106" i="15" s="1"/>
  <c r="G106" i="15" s="1"/>
  <c r="H106" i="15" s="1"/>
  <c r="X103" i="8"/>
  <c r="B104" i="8"/>
  <c r="D104" i="8" s="1"/>
  <c r="E104" i="8" s="1"/>
  <c r="F104" i="8" s="1"/>
  <c r="G104" i="8" s="1"/>
  <c r="H104" i="8" s="1"/>
  <c r="K104" i="8" s="1"/>
  <c r="W107" i="22" l="1"/>
  <c r="X107" i="22" s="1"/>
  <c r="B108" i="22"/>
  <c r="D108" i="22" s="1"/>
  <c r="E108" i="22" s="1"/>
  <c r="F108" i="22" s="1"/>
  <c r="G108" i="22" s="1"/>
  <c r="H108" i="22" s="1"/>
  <c r="B107" i="17"/>
  <c r="D107" i="17" s="1"/>
  <c r="E107" i="17" s="1"/>
  <c r="F107" i="17" s="1"/>
  <c r="G107" i="17" s="1"/>
  <c r="H107" i="17" s="1"/>
  <c r="W106" i="17"/>
  <c r="X106" i="17" s="1"/>
  <c r="I106" i="15"/>
  <c r="J106" i="15" s="1"/>
  <c r="K106" i="15"/>
  <c r="I104" i="8"/>
  <c r="J104" i="8" s="1"/>
  <c r="O104" i="8" s="1"/>
  <c r="M104" i="8"/>
  <c r="R104" i="8"/>
  <c r="S104" i="8"/>
  <c r="U104" i="8" s="1"/>
  <c r="C105" i="8" s="1"/>
  <c r="Q104" i="8"/>
  <c r="K108" i="22" l="1"/>
  <c r="I108" i="22"/>
  <c r="J108" i="22" s="1"/>
  <c r="K107" i="17"/>
  <c r="I107" i="17"/>
  <c r="J107" i="17" s="1"/>
  <c r="Q106" i="15"/>
  <c r="M106" i="15"/>
  <c r="R106" i="15"/>
  <c r="S106" i="15"/>
  <c r="U106" i="15" s="1"/>
  <c r="C107" i="15" s="1"/>
  <c r="O106" i="15"/>
  <c r="P106" i="15"/>
  <c r="T106" i="15" s="1"/>
  <c r="N106" i="15"/>
  <c r="L106" i="15"/>
  <c r="V106" i="15" s="1"/>
  <c r="L104" i="8"/>
  <c r="V104" i="8" s="1"/>
  <c r="N104" i="8"/>
  <c r="P108" i="22" l="1"/>
  <c r="T108" i="22" s="1"/>
  <c r="N108" i="22"/>
  <c r="L108" i="22"/>
  <c r="V108" i="22" s="1"/>
  <c r="O108" i="22"/>
  <c r="M108" i="22"/>
  <c r="R108" i="22"/>
  <c r="S108" i="22"/>
  <c r="U108" i="22" s="1"/>
  <c r="C109" i="22" s="1"/>
  <c r="Q108" i="22"/>
  <c r="L107" i="17"/>
  <c r="V107" i="17" s="1"/>
  <c r="P107" i="17"/>
  <c r="T107" i="17" s="1"/>
  <c r="O107" i="17"/>
  <c r="N107" i="17"/>
  <c r="Q107" i="17"/>
  <c r="M107" i="17"/>
  <c r="S107" i="17"/>
  <c r="U107" i="17" s="1"/>
  <c r="C108" i="17" s="1"/>
  <c r="R107" i="17"/>
  <c r="B107" i="15"/>
  <c r="D107" i="15" s="1"/>
  <c r="E107" i="15" s="1"/>
  <c r="F107" i="15" s="1"/>
  <c r="G107" i="15" s="1"/>
  <c r="H107" i="15" s="1"/>
  <c r="W106" i="15"/>
  <c r="X106" i="15" s="1"/>
  <c r="P104" i="8"/>
  <c r="T104" i="8" s="1"/>
  <c r="B109" i="22" l="1"/>
  <c r="D109" i="22" s="1"/>
  <c r="E109" i="22" s="1"/>
  <c r="F109" i="22" s="1"/>
  <c r="G109" i="22" s="1"/>
  <c r="H109" i="22" s="1"/>
  <c r="W108" i="22"/>
  <c r="X108" i="22" s="1"/>
  <c r="B108" i="17"/>
  <c r="D108" i="17" s="1"/>
  <c r="E108" i="17" s="1"/>
  <c r="F108" i="17" s="1"/>
  <c r="G108" i="17" s="1"/>
  <c r="H108" i="17" s="1"/>
  <c r="W107" i="17"/>
  <c r="X107" i="17" s="1"/>
  <c r="K107" i="15"/>
  <c r="I107" i="15"/>
  <c r="J107" i="15" s="1"/>
  <c r="B105" i="8"/>
  <c r="D105" i="8" s="1"/>
  <c r="E105" i="8" s="1"/>
  <c r="F105" i="8" s="1"/>
  <c r="G105" i="8" s="1"/>
  <c r="H105" i="8" s="1"/>
  <c r="W104" i="8"/>
  <c r="X104" i="8" s="1"/>
  <c r="I109" i="22" l="1"/>
  <c r="J109" i="22" s="1"/>
  <c r="K109" i="22"/>
  <c r="K108" i="17"/>
  <c r="I108" i="17"/>
  <c r="J108" i="17" s="1"/>
  <c r="O107" i="15"/>
  <c r="P107" i="15"/>
  <c r="T107" i="15" s="1"/>
  <c r="N107" i="15"/>
  <c r="L107" i="15"/>
  <c r="V107" i="15" s="1"/>
  <c r="S107" i="15"/>
  <c r="U107" i="15" s="1"/>
  <c r="C108" i="15" s="1"/>
  <c r="R107" i="15"/>
  <c r="Q107" i="15"/>
  <c r="M107" i="15"/>
  <c r="I105" i="8"/>
  <c r="J105" i="8" s="1"/>
  <c r="K105" i="8"/>
  <c r="M109" i="22" l="1"/>
  <c r="S109" i="22"/>
  <c r="U109" i="22" s="1"/>
  <c r="C110" i="22" s="1"/>
  <c r="R109" i="22"/>
  <c r="Q109" i="22"/>
  <c r="P109" i="22"/>
  <c r="T109" i="22" s="1"/>
  <c r="O109" i="22"/>
  <c r="N109" i="22"/>
  <c r="L109" i="22"/>
  <c r="V109" i="22" s="1"/>
  <c r="O108" i="17"/>
  <c r="L108" i="17"/>
  <c r="V108" i="17" s="1"/>
  <c r="P108" i="17"/>
  <c r="T108" i="17" s="1"/>
  <c r="N108" i="17"/>
  <c r="S108" i="17"/>
  <c r="U108" i="17" s="1"/>
  <c r="C109" i="17" s="1"/>
  <c r="M108" i="17"/>
  <c r="R108" i="17"/>
  <c r="Q108" i="17"/>
  <c r="W107" i="15"/>
  <c r="X107" i="15" s="1"/>
  <c r="B108" i="15"/>
  <c r="D108" i="15" s="1"/>
  <c r="E108" i="15" s="1"/>
  <c r="F108" i="15" s="1"/>
  <c r="G108" i="15" s="1"/>
  <c r="H108" i="15" s="1"/>
  <c r="S105" i="8"/>
  <c r="U105" i="8" s="1"/>
  <c r="C106" i="8" s="1"/>
  <c r="R105" i="8"/>
  <c r="Q105" i="8"/>
  <c r="M105" i="8"/>
  <c r="O105" i="8"/>
  <c r="L105" i="8"/>
  <c r="V105" i="8" s="1"/>
  <c r="N105" i="8"/>
  <c r="B110" i="22" l="1"/>
  <c r="D110" i="22" s="1"/>
  <c r="E110" i="22" s="1"/>
  <c r="F110" i="22" s="1"/>
  <c r="G110" i="22" s="1"/>
  <c r="H110" i="22" s="1"/>
  <c r="W109" i="22"/>
  <c r="X109" i="22" s="1"/>
  <c r="B109" i="17"/>
  <c r="D109" i="17" s="1"/>
  <c r="E109" i="17" s="1"/>
  <c r="F109" i="17" s="1"/>
  <c r="G109" i="17" s="1"/>
  <c r="H109" i="17" s="1"/>
  <c r="W108" i="17"/>
  <c r="X108" i="17" s="1"/>
  <c r="I108" i="15"/>
  <c r="J108" i="15" s="1"/>
  <c r="K108" i="15"/>
  <c r="P105" i="8"/>
  <c r="T105" i="8" s="1"/>
  <c r="I110" i="22" l="1"/>
  <c r="J110" i="22" s="1"/>
  <c r="K110" i="22"/>
  <c r="I109" i="17"/>
  <c r="J109" i="17" s="1"/>
  <c r="K109" i="17"/>
  <c r="Q108" i="15"/>
  <c r="M108" i="15"/>
  <c r="S108" i="15"/>
  <c r="U108" i="15" s="1"/>
  <c r="C109" i="15" s="1"/>
  <c r="R108" i="15"/>
  <c r="P108" i="15"/>
  <c r="T108" i="15" s="1"/>
  <c r="O108" i="15"/>
  <c r="L108" i="15"/>
  <c r="V108" i="15" s="1"/>
  <c r="N108" i="15"/>
  <c r="B106" i="8"/>
  <c r="D106" i="8" s="1"/>
  <c r="E106" i="8" s="1"/>
  <c r="F106" i="8" s="1"/>
  <c r="G106" i="8" s="1"/>
  <c r="H106" i="8" s="1"/>
  <c r="W105" i="8"/>
  <c r="X105" i="8" s="1"/>
  <c r="S110" i="22" l="1"/>
  <c r="U110" i="22" s="1"/>
  <c r="C111" i="22" s="1"/>
  <c r="R110" i="22"/>
  <c r="Q110" i="22"/>
  <c r="M110" i="22"/>
  <c r="P110" i="22"/>
  <c r="T110" i="22" s="1"/>
  <c r="O110" i="22"/>
  <c r="N110" i="22"/>
  <c r="L110" i="22"/>
  <c r="V110" i="22" s="1"/>
  <c r="S109" i="17"/>
  <c r="U109" i="17" s="1"/>
  <c r="C110" i="17" s="1"/>
  <c r="R109" i="17"/>
  <c r="Q109" i="17"/>
  <c r="M109" i="17"/>
  <c r="N109" i="17"/>
  <c r="L109" i="17"/>
  <c r="V109" i="17" s="1"/>
  <c r="P109" i="17"/>
  <c r="T109" i="17" s="1"/>
  <c r="O109" i="17"/>
  <c r="B109" i="15"/>
  <c r="D109" i="15" s="1"/>
  <c r="E109" i="15" s="1"/>
  <c r="F109" i="15" s="1"/>
  <c r="G109" i="15" s="1"/>
  <c r="H109" i="15" s="1"/>
  <c r="W108" i="15"/>
  <c r="X108" i="15" s="1"/>
  <c r="K106" i="8"/>
  <c r="I106" i="8"/>
  <c r="J106" i="8" s="1"/>
  <c r="B111" i="22" l="1"/>
  <c r="D111" i="22" s="1"/>
  <c r="E111" i="22" s="1"/>
  <c r="F111" i="22" s="1"/>
  <c r="G111" i="22" s="1"/>
  <c r="H111" i="22" s="1"/>
  <c r="W110" i="22"/>
  <c r="X110" i="22" s="1"/>
  <c r="B110" i="17"/>
  <c r="D110" i="17" s="1"/>
  <c r="E110" i="17" s="1"/>
  <c r="F110" i="17" s="1"/>
  <c r="G110" i="17" s="1"/>
  <c r="H110" i="17" s="1"/>
  <c r="W109" i="17"/>
  <c r="X109" i="17" s="1"/>
  <c r="I109" i="15"/>
  <c r="J109" i="15" s="1"/>
  <c r="K109" i="15"/>
  <c r="O106" i="8"/>
  <c r="N106" i="8"/>
  <c r="L106" i="8"/>
  <c r="Q106" i="8"/>
  <c r="S106" i="8"/>
  <c r="U106" i="8" s="1"/>
  <c r="C107" i="8" s="1"/>
  <c r="R106" i="8"/>
  <c r="M106" i="8"/>
  <c r="K111" i="22" l="1"/>
  <c r="I111" i="22"/>
  <c r="J111" i="22" s="1"/>
  <c r="K110" i="17"/>
  <c r="I110" i="17"/>
  <c r="J110" i="17" s="1"/>
  <c r="O109" i="15"/>
  <c r="P109" i="15"/>
  <c r="T109" i="15" s="1"/>
  <c r="N109" i="15"/>
  <c r="L109" i="15"/>
  <c r="V109" i="15" s="1"/>
  <c r="S109" i="15"/>
  <c r="U109" i="15" s="1"/>
  <c r="C110" i="15" s="1"/>
  <c r="R109" i="15"/>
  <c r="Q109" i="15"/>
  <c r="M109" i="15"/>
  <c r="V106" i="8"/>
  <c r="P106" i="8"/>
  <c r="T106" i="8" s="1"/>
  <c r="L111" i="22" l="1"/>
  <c r="V111" i="22" s="1"/>
  <c r="P111" i="22"/>
  <c r="T111" i="22" s="1"/>
  <c r="O111" i="22"/>
  <c r="N111" i="22"/>
  <c r="S111" i="22"/>
  <c r="U111" i="22" s="1"/>
  <c r="C112" i="22" s="1"/>
  <c r="R111" i="22"/>
  <c r="Q111" i="22"/>
  <c r="M111" i="22"/>
  <c r="L110" i="17"/>
  <c r="V110" i="17" s="1"/>
  <c r="P110" i="17"/>
  <c r="T110" i="17" s="1"/>
  <c r="O110" i="17"/>
  <c r="N110" i="17"/>
  <c r="Q110" i="17"/>
  <c r="S110" i="17"/>
  <c r="U110" i="17" s="1"/>
  <c r="C111" i="17" s="1"/>
  <c r="R110" i="17"/>
  <c r="M110" i="17"/>
  <c r="B110" i="15"/>
  <c r="D110" i="15" s="1"/>
  <c r="E110" i="15" s="1"/>
  <c r="F110" i="15" s="1"/>
  <c r="G110" i="15" s="1"/>
  <c r="H110" i="15" s="1"/>
  <c r="W109" i="15"/>
  <c r="X109" i="15" s="1"/>
  <c r="B107" i="8"/>
  <c r="D107" i="8" s="1"/>
  <c r="E107" i="8" s="1"/>
  <c r="F107" i="8" s="1"/>
  <c r="G107" i="8" s="1"/>
  <c r="H107" i="8" s="1"/>
  <c r="W106" i="8"/>
  <c r="X106" i="8" s="1"/>
  <c r="B112" i="22" l="1"/>
  <c r="D112" i="22" s="1"/>
  <c r="E112" i="22" s="1"/>
  <c r="F112" i="22" s="1"/>
  <c r="G112" i="22" s="1"/>
  <c r="H112" i="22" s="1"/>
  <c r="W111" i="22"/>
  <c r="X111" i="22" s="1"/>
  <c r="W110" i="17"/>
  <c r="X110" i="17" s="1"/>
  <c r="B111" i="17"/>
  <c r="D111" i="17" s="1"/>
  <c r="E111" i="17" s="1"/>
  <c r="F111" i="17" s="1"/>
  <c r="G111" i="17" s="1"/>
  <c r="H111" i="17" s="1"/>
  <c r="I110" i="15"/>
  <c r="J110" i="15" s="1"/>
  <c r="K110" i="15"/>
  <c r="K107" i="8"/>
  <c r="I107" i="8"/>
  <c r="J107" i="8" s="1"/>
  <c r="K112" i="22" l="1"/>
  <c r="I112" i="22"/>
  <c r="J112" i="22" s="1"/>
  <c r="K111" i="17"/>
  <c r="I111" i="17"/>
  <c r="J111" i="17" s="1"/>
  <c r="S110" i="15"/>
  <c r="U110" i="15" s="1"/>
  <c r="C111" i="15" s="1"/>
  <c r="R110" i="15"/>
  <c r="Q110" i="15"/>
  <c r="M110" i="15"/>
  <c r="P110" i="15"/>
  <c r="T110" i="15" s="1"/>
  <c r="O110" i="15"/>
  <c r="N110" i="15"/>
  <c r="L110" i="15"/>
  <c r="V110" i="15" s="1"/>
  <c r="L107" i="8"/>
  <c r="P107" i="8" s="1"/>
  <c r="T107" i="8" s="1"/>
  <c r="N107" i="8"/>
  <c r="O107" i="8"/>
  <c r="M107" i="8"/>
  <c r="Q107" i="8"/>
  <c r="S107" i="8"/>
  <c r="U107" i="8" s="1"/>
  <c r="C108" i="8" s="1"/>
  <c r="R107" i="8"/>
  <c r="P112" i="22" l="1"/>
  <c r="T112" i="22" s="1"/>
  <c r="O112" i="22"/>
  <c r="N112" i="22"/>
  <c r="L112" i="22"/>
  <c r="V112" i="22" s="1"/>
  <c r="S112" i="22"/>
  <c r="U112" i="22" s="1"/>
  <c r="C113" i="22" s="1"/>
  <c r="Q112" i="22"/>
  <c r="M112" i="22"/>
  <c r="R112" i="22"/>
  <c r="O111" i="17"/>
  <c r="P111" i="17"/>
  <c r="T111" i="17" s="1"/>
  <c r="N111" i="17"/>
  <c r="L111" i="17"/>
  <c r="V111" i="17" s="1"/>
  <c r="R111" i="17"/>
  <c r="Q111" i="17"/>
  <c r="S111" i="17"/>
  <c r="U111" i="17" s="1"/>
  <c r="C112" i="17" s="1"/>
  <c r="M111" i="17"/>
  <c r="B111" i="15"/>
  <c r="D111" i="15" s="1"/>
  <c r="E111" i="15" s="1"/>
  <c r="F111" i="15" s="1"/>
  <c r="G111" i="15" s="1"/>
  <c r="H111" i="15" s="1"/>
  <c r="W110" i="15"/>
  <c r="X110" i="15" s="1"/>
  <c r="B108" i="8"/>
  <c r="D108" i="8" s="1"/>
  <c r="E108" i="8" s="1"/>
  <c r="F108" i="8" s="1"/>
  <c r="G108" i="8" s="1"/>
  <c r="H108" i="8" s="1"/>
  <c r="W107" i="8"/>
  <c r="V107" i="8"/>
  <c r="W112" i="22" l="1"/>
  <c r="X112" i="22" s="1"/>
  <c r="B113" i="22"/>
  <c r="D113" i="22" s="1"/>
  <c r="E113" i="22" s="1"/>
  <c r="F113" i="22" s="1"/>
  <c r="G113" i="22" s="1"/>
  <c r="H113" i="22" s="1"/>
  <c r="B112" i="17"/>
  <c r="D112" i="17" s="1"/>
  <c r="E112" i="17" s="1"/>
  <c r="F112" i="17" s="1"/>
  <c r="G112" i="17" s="1"/>
  <c r="H112" i="17" s="1"/>
  <c r="W111" i="17"/>
  <c r="X111" i="17" s="1"/>
  <c r="K111" i="15"/>
  <c r="I111" i="15"/>
  <c r="J111" i="15" s="1"/>
  <c r="X107" i="8"/>
  <c r="I108" i="8"/>
  <c r="J108" i="8" s="1"/>
  <c r="K108" i="8"/>
  <c r="K113" i="22" l="1"/>
  <c r="I113" i="22"/>
  <c r="J113" i="22" s="1"/>
  <c r="K112" i="17"/>
  <c r="I112" i="17"/>
  <c r="J112" i="17" s="1"/>
  <c r="L111" i="15"/>
  <c r="V111" i="15" s="1"/>
  <c r="P111" i="15"/>
  <c r="T111" i="15" s="1"/>
  <c r="O111" i="15"/>
  <c r="N111" i="15"/>
  <c r="R111" i="15"/>
  <c r="S111" i="15"/>
  <c r="U111" i="15" s="1"/>
  <c r="C112" i="15" s="1"/>
  <c r="M111" i="15"/>
  <c r="Q111" i="15"/>
  <c r="S108" i="8"/>
  <c r="U108" i="8" s="1"/>
  <c r="C109" i="8" s="1"/>
  <c r="R108" i="8"/>
  <c r="M108" i="8"/>
  <c r="Q108" i="8"/>
  <c r="N108" i="8"/>
  <c r="O108" i="8"/>
  <c r="L108" i="8"/>
  <c r="V108" i="8" s="1"/>
  <c r="N113" i="22" l="1"/>
  <c r="L113" i="22"/>
  <c r="V113" i="22" s="1"/>
  <c r="P113" i="22"/>
  <c r="T113" i="22" s="1"/>
  <c r="O113" i="22"/>
  <c r="M113" i="22"/>
  <c r="S113" i="22"/>
  <c r="U113" i="22" s="1"/>
  <c r="C114" i="22" s="1"/>
  <c r="R113" i="22"/>
  <c r="Q113" i="22"/>
  <c r="O112" i="17"/>
  <c r="L112" i="17"/>
  <c r="V112" i="17" s="1"/>
  <c r="P112" i="17"/>
  <c r="T112" i="17" s="1"/>
  <c r="N112" i="17"/>
  <c r="S112" i="17"/>
  <c r="U112" i="17" s="1"/>
  <c r="C113" i="17" s="1"/>
  <c r="R112" i="17"/>
  <c r="Q112" i="17"/>
  <c r="M112" i="17"/>
  <c r="B112" i="15"/>
  <c r="D112" i="15" s="1"/>
  <c r="E112" i="15" s="1"/>
  <c r="F112" i="15" s="1"/>
  <c r="G112" i="15" s="1"/>
  <c r="H112" i="15" s="1"/>
  <c r="W111" i="15"/>
  <c r="X111" i="15" s="1"/>
  <c r="P108" i="8"/>
  <c r="T108" i="8" s="1"/>
  <c r="B114" i="22" l="1"/>
  <c r="D114" i="22" s="1"/>
  <c r="E114" i="22" s="1"/>
  <c r="F114" i="22" s="1"/>
  <c r="G114" i="22" s="1"/>
  <c r="H114" i="22" s="1"/>
  <c r="W113" i="22"/>
  <c r="X113" i="22" s="1"/>
  <c r="B113" i="17"/>
  <c r="D113" i="17" s="1"/>
  <c r="E113" i="17" s="1"/>
  <c r="F113" i="17" s="1"/>
  <c r="G113" i="17" s="1"/>
  <c r="H113" i="17" s="1"/>
  <c r="W112" i="17"/>
  <c r="X112" i="17" s="1"/>
  <c r="K112" i="15"/>
  <c r="I112" i="15"/>
  <c r="J112" i="15" s="1"/>
  <c r="W108" i="8"/>
  <c r="X108" i="8" s="1"/>
  <c r="B109" i="8"/>
  <c r="D109" i="8" s="1"/>
  <c r="E109" i="8" s="1"/>
  <c r="F109" i="8" s="1"/>
  <c r="G109" i="8" s="1"/>
  <c r="H109" i="8" s="1"/>
  <c r="K114" i="22" l="1"/>
  <c r="I114" i="22"/>
  <c r="J114" i="22" s="1"/>
  <c r="I113" i="17"/>
  <c r="J113" i="17" s="1"/>
  <c r="K113" i="17"/>
  <c r="L112" i="15"/>
  <c r="V112" i="15" s="1"/>
  <c r="O112" i="15"/>
  <c r="P112" i="15"/>
  <c r="T112" i="15" s="1"/>
  <c r="N112" i="15"/>
  <c r="S112" i="15"/>
  <c r="U112" i="15" s="1"/>
  <c r="C113" i="15" s="1"/>
  <c r="M112" i="15"/>
  <c r="R112" i="15"/>
  <c r="Q112" i="15"/>
  <c r="I109" i="8"/>
  <c r="J109" i="8" s="1"/>
  <c r="K109" i="8"/>
  <c r="L114" i="22" l="1"/>
  <c r="V114" i="22" s="1"/>
  <c r="O114" i="22"/>
  <c r="P114" i="22"/>
  <c r="T114" i="22" s="1"/>
  <c r="N114" i="22"/>
  <c r="S114" i="22"/>
  <c r="U114" i="22" s="1"/>
  <c r="C115" i="22" s="1"/>
  <c r="R114" i="22"/>
  <c r="Q114" i="22"/>
  <c r="M114" i="22"/>
  <c r="S113" i="17"/>
  <c r="U113" i="17" s="1"/>
  <c r="C114" i="17" s="1"/>
  <c r="R113" i="17"/>
  <c r="Q113" i="17"/>
  <c r="M113" i="17"/>
  <c r="P113" i="17"/>
  <c r="T113" i="17" s="1"/>
  <c r="O113" i="17"/>
  <c r="N113" i="17"/>
  <c r="L113" i="17"/>
  <c r="V113" i="17" s="1"/>
  <c r="B113" i="15"/>
  <c r="D113" i="15" s="1"/>
  <c r="E113" i="15" s="1"/>
  <c r="F113" i="15" s="1"/>
  <c r="G113" i="15" s="1"/>
  <c r="H113" i="15" s="1"/>
  <c r="W112" i="15"/>
  <c r="X112" i="15" s="1"/>
  <c r="Q109" i="8"/>
  <c r="R109" i="8"/>
  <c r="S109" i="8"/>
  <c r="U109" i="8" s="1"/>
  <c r="C110" i="8" s="1"/>
  <c r="M109" i="8"/>
  <c r="N109" i="8"/>
  <c r="L109" i="8"/>
  <c r="V109" i="8" s="1"/>
  <c r="O109" i="8"/>
  <c r="W114" i="22" l="1"/>
  <c r="X114" i="22" s="1"/>
  <c r="B115" i="22"/>
  <c r="D115" i="22" s="1"/>
  <c r="E115" i="22" s="1"/>
  <c r="F115" i="22" s="1"/>
  <c r="G115" i="22" s="1"/>
  <c r="H115" i="22" s="1"/>
  <c r="W113" i="17"/>
  <c r="X113" i="17" s="1"/>
  <c r="B114" i="17"/>
  <c r="D114" i="17" s="1"/>
  <c r="E114" i="17" s="1"/>
  <c r="F114" i="17" s="1"/>
  <c r="G114" i="17" s="1"/>
  <c r="H114" i="17" s="1"/>
  <c r="K113" i="15"/>
  <c r="I113" i="15"/>
  <c r="J113" i="15" s="1"/>
  <c r="P109" i="8"/>
  <c r="T109" i="8" s="1"/>
  <c r="K115" i="22" l="1"/>
  <c r="I115" i="22"/>
  <c r="J115" i="22" s="1"/>
  <c r="K114" i="17"/>
  <c r="I114" i="17"/>
  <c r="J114" i="17" s="1"/>
  <c r="N113" i="15"/>
  <c r="L113" i="15"/>
  <c r="V113" i="15" s="1"/>
  <c r="O113" i="15"/>
  <c r="P113" i="15"/>
  <c r="T113" i="15" s="1"/>
  <c r="M113" i="15"/>
  <c r="S113" i="15"/>
  <c r="U113" i="15" s="1"/>
  <c r="C114" i="15" s="1"/>
  <c r="Q113" i="15"/>
  <c r="R113" i="15"/>
  <c r="W109" i="8"/>
  <c r="X109" i="8" s="1"/>
  <c r="B110" i="8"/>
  <c r="D110" i="8" s="1"/>
  <c r="E110" i="8" s="1"/>
  <c r="F110" i="8" s="1"/>
  <c r="G110" i="8" s="1"/>
  <c r="H110" i="8" s="1"/>
  <c r="P115" i="22" l="1"/>
  <c r="T115" i="22" s="1"/>
  <c r="O115" i="22"/>
  <c r="N115" i="22"/>
  <c r="L115" i="22"/>
  <c r="V115" i="22" s="1"/>
  <c r="S115" i="22"/>
  <c r="U115" i="22" s="1"/>
  <c r="C116" i="22" s="1"/>
  <c r="R115" i="22"/>
  <c r="Q115" i="22"/>
  <c r="M115" i="22"/>
  <c r="P114" i="17"/>
  <c r="T114" i="17" s="1"/>
  <c r="N114" i="17"/>
  <c r="O114" i="17"/>
  <c r="L114" i="17"/>
  <c r="V114" i="17" s="1"/>
  <c r="Q114" i="17"/>
  <c r="R114" i="17"/>
  <c r="S114" i="17"/>
  <c r="U114" i="17" s="1"/>
  <c r="C115" i="17" s="1"/>
  <c r="M114" i="17"/>
  <c r="B114" i="15"/>
  <c r="D114" i="15" s="1"/>
  <c r="E114" i="15" s="1"/>
  <c r="F114" i="15" s="1"/>
  <c r="G114" i="15" s="1"/>
  <c r="H114" i="15" s="1"/>
  <c r="W113" i="15"/>
  <c r="X113" i="15" s="1"/>
  <c r="I110" i="8"/>
  <c r="J110" i="8" s="1"/>
  <c r="K110" i="8"/>
  <c r="B116" i="22" l="1"/>
  <c r="D116" i="22" s="1"/>
  <c r="E116" i="22" s="1"/>
  <c r="F116" i="22" s="1"/>
  <c r="G116" i="22" s="1"/>
  <c r="H116" i="22" s="1"/>
  <c r="W115" i="22"/>
  <c r="X115" i="22" s="1"/>
  <c r="B115" i="17"/>
  <c r="D115" i="17" s="1"/>
  <c r="E115" i="17" s="1"/>
  <c r="F115" i="17" s="1"/>
  <c r="G115" i="17" s="1"/>
  <c r="H115" i="17" s="1"/>
  <c r="W114" i="17"/>
  <c r="X114" i="17" s="1"/>
  <c r="K114" i="15"/>
  <c r="I114" i="15"/>
  <c r="J114" i="15" s="1"/>
  <c r="S110" i="8"/>
  <c r="U110" i="8" s="1"/>
  <c r="C111" i="8" s="1"/>
  <c r="M110" i="8"/>
  <c r="Q110" i="8"/>
  <c r="R110" i="8"/>
  <c r="O110" i="8"/>
  <c r="N110" i="8"/>
  <c r="L110" i="8"/>
  <c r="V110" i="8" s="1"/>
  <c r="I116" i="22" l="1"/>
  <c r="J116" i="22" s="1"/>
  <c r="K116" i="22"/>
  <c r="K115" i="17"/>
  <c r="I115" i="17"/>
  <c r="J115" i="17" s="1"/>
  <c r="N114" i="15"/>
  <c r="L114" i="15"/>
  <c r="V114" i="15" s="1"/>
  <c r="P114" i="15"/>
  <c r="T114" i="15" s="1"/>
  <c r="O114" i="15"/>
  <c r="M114" i="15"/>
  <c r="S114" i="15"/>
  <c r="U114" i="15" s="1"/>
  <c r="C115" i="15" s="1"/>
  <c r="R114" i="15"/>
  <c r="Q114" i="15"/>
  <c r="P110" i="8"/>
  <c r="T110" i="8" s="1"/>
  <c r="S116" i="22" l="1"/>
  <c r="U116" i="22" s="1"/>
  <c r="C117" i="22" s="1"/>
  <c r="R116" i="22"/>
  <c r="Q116" i="22"/>
  <c r="M116" i="22"/>
  <c r="L116" i="22"/>
  <c r="V116" i="22" s="1"/>
  <c r="P116" i="22"/>
  <c r="T116" i="22" s="1"/>
  <c r="O116" i="22"/>
  <c r="N116" i="22"/>
  <c r="L115" i="17"/>
  <c r="V115" i="17" s="1"/>
  <c r="P115" i="17"/>
  <c r="T115" i="17" s="1"/>
  <c r="O115" i="17"/>
  <c r="N115" i="17"/>
  <c r="S115" i="17"/>
  <c r="U115" i="17" s="1"/>
  <c r="C116" i="17" s="1"/>
  <c r="R115" i="17"/>
  <c r="Q115" i="17"/>
  <c r="M115" i="17"/>
  <c r="W114" i="15"/>
  <c r="X114" i="15" s="1"/>
  <c r="B115" i="15"/>
  <c r="D115" i="15" s="1"/>
  <c r="E115" i="15" s="1"/>
  <c r="F115" i="15" s="1"/>
  <c r="G115" i="15" s="1"/>
  <c r="H115" i="15" s="1"/>
  <c r="B111" i="8"/>
  <c r="D111" i="8" s="1"/>
  <c r="E111" i="8" s="1"/>
  <c r="F111" i="8" s="1"/>
  <c r="G111" i="8" s="1"/>
  <c r="H111" i="8" s="1"/>
  <c r="W110" i="8"/>
  <c r="X110" i="8" s="1"/>
  <c r="B117" i="22" l="1"/>
  <c r="D117" i="22" s="1"/>
  <c r="E117" i="22" s="1"/>
  <c r="F117" i="22" s="1"/>
  <c r="G117" i="22" s="1"/>
  <c r="H117" i="22" s="1"/>
  <c r="W116" i="22"/>
  <c r="X116" i="22" s="1"/>
  <c r="B116" i="17"/>
  <c r="D116" i="17" s="1"/>
  <c r="E116" i="17" s="1"/>
  <c r="F116" i="17" s="1"/>
  <c r="G116" i="17" s="1"/>
  <c r="H116" i="17" s="1"/>
  <c r="W115" i="17"/>
  <c r="X115" i="17" s="1"/>
  <c r="K115" i="15"/>
  <c r="I115" i="15"/>
  <c r="J115" i="15" s="1"/>
  <c r="K111" i="8"/>
  <c r="I111" i="8"/>
  <c r="J111" i="8" s="1"/>
  <c r="K117" i="22" l="1"/>
  <c r="I117" i="22"/>
  <c r="J117" i="22" s="1"/>
  <c r="I116" i="17"/>
  <c r="J116" i="17" s="1"/>
  <c r="K116" i="17"/>
  <c r="P115" i="15"/>
  <c r="T115" i="15" s="1"/>
  <c r="O115" i="15"/>
  <c r="N115" i="15"/>
  <c r="L115" i="15"/>
  <c r="V115" i="15" s="1"/>
  <c r="M115" i="15"/>
  <c r="R115" i="15"/>
  <c r="S115" i="15"/>
  <c r="U115" i="15" s="1"/>
  <c r="C116" i="15" s="1"/>
  <c r="Q115" i="15"/>
  <c r="O111" i="8"/>
  <c r="L111" i="8"/>
  <c r="N111" i="8"/>
  <c r="M111" i="8"/>
  <c r="R111" i="8"/>
  <c r="Q111" i="8"/>
  <c r="S111" i="8"/>
  <c r="U111" i="8" s="1"/>
  <c r="C112" i="8" s="1"/>
  <c r="P117" i="22" l="1"/>
  <c r="T117" i="22" s="1"/>
  <c r="O117" i="22"/>
  <c r="N117" i="22"/>
  <c r="L117" i="22"/>
  <c r="V117" i="22" s="1"/>
  <c r="R117" i="22"/>
  <c r="Q117" i="22"/>
  <c r="S117" i="22"/>
  <c r="U117" i="22" s="1"/>
  <c r="C118" i="22" s="1"/>
  <c r="M117" i="22"/>
  <c r="S116" i="17"/>
  <c r="U116" i="17" s="1"/>
  <c r="C117" i="17" s="1"/>
  <c r="R116" i="17"/>
  <c r="Q116" i="17"/>
  <c r="M116" i="17"/>
  <c r="O116" i="17"/>
  <c r="P116" i="17"/>
  <c r="T116" i="17" s="1"/>
  <c r="N116" i="17"/>
  <c r="L116" i="17"/>
  <c r="V116" i="17" s="1"/>
  <c r="B116" i="15"/>
  <c r="D116" i="15" s="1"/>
  <c r="E116" i="15" s="1"/>
  <c r="F116" i="15" s="1"/>
  <c r="G116" i="15" s="1"/>
  <c r="H116" i="15" s="1"/>
  <c r="W115" i="15"/>
  <c r="X115" i="15" s="1"/>
  <c r="V111" i="8"/>
  <c r="P111" i="8"/>
  <c r="T111" i="8" s="1"/>
  <c r="B118" i="22" l="1"/>
  <c r="D118" i="22" s="1"/>
  <c r="E118" i="22" s="1"/>
  <c r="F118" i="22" s="1"/>
  <c r="G118" i="22" s="1"/>
  <c r="H118" i="22" s="1"/>
  <c r="W117" i="22"/>
  <c r="X117" i="22" s="1"/>
  <c r="W116" i="17"/>
  <c r="X116" i="17" s="1"/>
  <c r="B117" i="17"/>
  <c r="D117" i="17" s="1"/>
  <c r="E117" i="17" s="1"/>
  <c r="F117" i="17" s="1"/>
  <c r="G117" i="17" s="1"/>
  <c r="H117" i="17" s="1"/>
  <c r="I116" i="15"/>
  <c r="J116" i="15" s="1"/>
  <c r="K116" i="15"/>
  <c r="W111" i="8"/>
  <c r="X111" i="8" s="1"/>
  <c r="B112" i="8"/>
  <c r="D112" i="8" s="1"/>
  <c r="E112" i="8" s="1"/>
  <c r="F112" i="8" s="1"/>
  <c r="G112" i="8" s="1"/>
  <c r="H112" i="8" s="1"/>
  <c r="K118" i="22" l="1"/>
  <c r="I118" i="22"/>
  <c r="J118" i="22" s="1"/>
  <c r="K117" i="17"/>
  <c r="I117" i="17"/>
  <c r="J117" i="17" s="1"/>
  <c r="R116" i="15"/>
  <c r="Q116" i="15"/>
  <c r="M116" i="15"/>
  <c r="S116" i="15"/>
  <c r="U116" i="15" s="1"/>
  <c r="C117" i="15" s="1"/>
  <c r="P116" i="15"/>
  <c r="T116" i="15" s="1"/>
  <c r="O116" i="15"/>
  <c r="N116" i="15"/>
  <c r="L116" i="15"/>
  <c r="V116" i="15" s="1"/>
  <c r="K112" i="8"/>
  <c r="I112" i="8"/>
  <c r="J112" i="8" s="1"/>
  <c r="P118" i="22" l="1"/>
  <c r="T118" i="22" s="1"/>
  <c r="O118" i="22"/>
  <c r="N118" i="22"/>
  <c r="L118" i="22"/>
  <c r="V118" i="22" s="1"/>
  <c r="R118" i="22"/>
  <c r="Q118" i="22"/>
  <c r="M118" i="22"/>
  <c r="S118" i="22"/>
  <c r="U118" i="22" s="1"/>
  <c r="C119" i="22" s="1"/>
  <c r="L117" i="17"/>
  <c r="V117" i="17" s="1"/>
  <c r="O117" i="17"/>
  <c r="P117" i="17"/>
  <c r="T117" i="17" s="1"/>
  <c r="N117" i="17"/>
  <c r="R117" i="17"/>
  <c r="Q117" i="17"/>
  <c r="S117" i="17"/>
  <c r="U117" i="17" s="1"/>
  <c r="C118" i="17" s="1"/>
  <c r="M117" i="17"/>
  <c r="B117" i="15"/>
  <c r="D117" i="15" s="1"/>
  <c r="E117" i="15" s="1"/>
  <c r="F117" i="15" s="1"/>
  <c r="G117" i="15" s="1"/>
  <c r="H117" i="15" s="1"/>
  <c r="W116" i="15"/>
  <c r="X116" i="15" s="1"/>
  <c r="L112" i="8"/>
  <c r="O112" i="8"/>
  <c r="N112" i="8"/>
  <c r="M112" i="8"/>
  <c r="S112" i="8"/>
  <c r="U112" i="8" s="1"/>
  <c r="C113" i="8" s="1"/>
  <c r="R112" i="8"/>
  <c r="Q112" i="8"/>
  <c r="B119" i="22" l="1"/>
  <c r="D119" i="22" s="1"/>
  <c r="E119" i="22" s="1"/>
  <c r="F119" i="22" s="1"/>
  <c r="G119" i="22" s="1"/>
  <c r="H119" i="22" s="1"/>
  <c r="W118" i="22"/>
  <c r="X118" i="22" s="1"/>
  <c r="B118" i="17"/>
  <c r="D118" i="17" s="1"/>
  <c r="E118" i="17" s="1"/>
  <c r="F118" i="17" s="1"/>
  <c r="G118" i="17" s="1"/>
  <c r="H118" i="17" s="1"/>
  <c r="W117" i="17"/>
  <c r="X117" i="17" s="1"/>
  <c r="K117" i="15"/>
  <c r="I117" i="15"/>
  <c r="J117" i="15" s="1"/>
  <c r="V112" i="8"/>
  <c r="P112" i="8"/>
  <c r="T112" i="8" s="1"/>
  <c r="K119" i="22" l="1"/>
  <c r="I119" i="22"/>
  <c r="J119" i="22" s="1"/>
  <c r="I118" i="17"/>
  <c r="J118" i="17" s="1"/>
  <c r="K118" i="17"/>
  <c r="P117" i="15"/>
  <c r="T117" i="15" s="1"/>
  <c r="N117" i="15"/>
  <c r="L117" i="15"/>
  <c r="V117" i="15" s="1"/>
  <c r="O117" i="15"/>
  <c r="R117" i="15"/>
  <c r="Q117" i="15"/>
  <c r="M117" i="15"/>
  <c r="S117" i="15"/>
  <c r="U117" i="15" s="1"/>
  <c r="C118" i="15" s="1"/>
  <c r="W112" i="8"/>
  <c r="X112" i="8" s="1"/>
  <c r="B113" i="8"/>
  <c r="D113" i="8" s="1"/>
  <c r="E113" i="8" s="1"/>
  <c r="F113" i="8" s="1"/>
  <c r="G113" i="8" s="1"/>
  <c r="H113" i="8" s="1"/>
  <c r="N119" i="22" l="1"/>
  <c r="L119" i="22"/>
  <c r="V119" i="22" s="1"/>
  <c r="P119" i="22"/>
  <c r="T119" i="22" s="1"/>
  <c r="O119" i="22"/>
  <c r="S119" i="22"/>
  <c r="U119" i="22" s="1"/>
  <c r="C120" i="22" s="1"/>
  <c r="R119" i="22"/>
  <c r="M119" i="22"/>
  <c r="Q119" i="22"/>
  <c r="M118" i="17"/>
  <c r="S118" i="17"/>
  <c r="U118" i="17" s="1"/>
  <c r="C119" i="17" s="1"/>
  <c r="R118" i="17"/>
  <c r="Q118" i="17"/>
  <c r="O118" i="17"/>
  <c r="L118" i="17"/>
  <c r="V118" i="17" s="1"/>
  <c r="P118" i="17"/>
  <c r="T118" i="17" s="1"/>
  <c r="N118" i="17"/>
  <c r="B118" i="15"/>
  <c r="D118" i="15" s="1"/>
  <c r="E118" i="15" s="1"/>
  <c r="F118" i="15" s="1"/>
  <c r="G118" i="15" s="1"/>
  <c r="H118" i="15" s="1"/>
  <c r="W117" i="15"/>
  <c r="X117" i="15" s="1"/>
  <c r="K113" i="8"/>
  <c r="I113" i="8"/>
  <c r="J113" i="8" s="1"/>
  <c r="B120" i="22" l="1"/>
  <c r="D120" i="22" s="1"/>
  <c r="E120" i="22" s="1"/>
  <c r="F120" i="22" s="1"/>
  <c r="G120" i="22" s="1"/>
  <c r="H120" i="22" s="1"/>
  <c r="W119" i="22"/>
  <c r="X119" i="22" s="1"/>
  <c r="B119" i="17"/>
  <c r="D119" i="17" s="1"/>
  <c r="E119" i="17" s="1"/>
  <c r="F119" i="17" s="1"/>
  <c r="G119" i="17" s="1"/>
  <c r="H119" i="17" s="1"/>
  <c r="W118" i="17"/>
  <c r="X118" i="17" s="1"/>
  <c r="K118" i="15"/>
  <c r="I118" i="15"/>
  <c r="J118" i="15" s="1"/>
  <c r="L113" i="8"/>
  <c r="O113" i="8"/>
  <c r="N113" i="8"/>
  <c r="M113" i="8"/>
  <c r="S113" i="8"/>
  <c r="U113" i="8" s="1"/>
  <c r="C114" i="8" s="1"/>
  <c r="R113" i="8"/>
  <c r="Q113" i="8"/>
  <c r="K120" i="22" l="1"/>
  <c r="I120" i="22"/>
  <c r="J120" i="22" s="1"/>
  <c r="I119" i="17"/>
  <c r="J119" i="17" s="1"/>
  <c r="K119" i="17"/>
  <c r="L118" i="15"/>
  <c r="V118" i="15" s="1"/>
  <c r="P118" i="15"/>
  <c r="T118" i="15" s="1"/>
  <c r="O118" i="15"/>
  <c r="N118" i="15"/>
  <c r="M118" i="15"/>
  <c r="S118" i="15"/>
  <c r="U118" i="15" s="1"/>
  <c r="C119" i="15" s="1"/>
  <c r="R118" i="15"/>
  <c r="Q118" i="15"/>
  <c r="V113" i="8"/>
  <c r="P113" i="8"/>
  <c r="T113" i="8" s="1"/>
  <c r="L120" i="22" l="1"/>
  <c r="V120" i="22" s="1"/>
  <c r="P120" i="22"/>
  <c r="T120" i="22" s="1"/>
  <c r="O120" i="22"/>
  <c r="N120" i="22"/>
  <c r="M120" i="22"/>
  <c r="S120" i="22"/>
  <c r="U120" i="22" s="1"/>
  <c r="C121" i="22" s="1"/>
  <c r="R120" i="22"/>
  <c r="Q120" i="22"/>
  <c r="S119" i="17"/>
  <c r="U119" i="17" s="1"/>
  <c r="C120" i="17" s="1"/>
  <c r="R119" i="17"/>
  <c r="Q119" i="17"/>
  <c r="M119" i="17"/>
  <c r="N119" i="17"/>
  <c r="L119" i="17"/>
  <c r="V119" i="17" s="1"/>
  <c r="P119" i="17"/>
  <c r="T119" i="17" s="1"/>
  <c r="O119" i="17"/>
  <c r="B119" i="15"/>
  <c r="D119" i="15" s="1"/>
  <c r="E119" i="15" s="1"/>
  <c r="F119" i="15" s="1"/>
  <c r="G119" i="15" s="1"/>
  <c r="H119" i="15" s="1"/>
  <c r="W118" i="15"/>
  <c r="X118" i="15" s="1"/>
  <c r="B114" i="8"/>
  <c r="D114" i="8" s="1"/>
  <c r="E114" i="8" s="1"/>
  <c r="F114" i="8" s="1"/>
  <c r="G114" i="8" s="1"/>
  <c r="H114" i="8" s="1"/>
  <c r="W113" i="8"/>
  <c r="X113" i="8" s="1"/>
  <c r="B121" i="22" l="1"/>
  <c r="D121" i="22" s="1"/>
  <c r="E121" i="22" s="1"/>
  <c r="F121" i="22" s="1"/>
  <c r="G121" i="22" s="1"/>
  <c r="H121" i="22" s="1"/>
  <c r="W120" i="22"/>
  <c r="X120" i="22" s="1"/>
  <c r="W119" i="17"/>
  <c r="X119" i="17" s="1"/>
  <c r="B120" i="17"/>
  <c r="D120" i="17" s="1"/>
  <c r="E120" i="17" s="1"/>
  <c r="F120" i="17" s="1"/>
  <c r="G120" i="17" s="1"/>
  <c r="H120" i="17" s="1"/>
  <c r="I119" i="15"/>
  <c r="J119" i="15" s="1"/>
  <c r="K119" i="15"/>
  <c r="I114" i="8"/>
  <c r="J114" i="8" s="1"/>
  <c r="K114" i="8"/>
  <c r="I121" i="22" l="1"/>
  <c r="J121" i="22" s="1"/>
  <c r="K121" i="22"/>
  <c r="I120" i="17"/>
  <c r="J120" i="17" s="1"/>
  <c r="K120" i="17"/>
  <c r="S119" i="15"/>
  <c r="U119" i="15" s="1"/>
  <c r="C120" i="15" s="1"/>
  <c r="R119" i="15"/>
  <c r="Q119" i="15"/>
  <c r="M119" i="15"/>
  <c r="P119" i="15"/>
  <c r="T119" i="15" s="1"/>
  <c r="O119" i="15"/>
  <c r="N119" i="15"/>
  <c r="L119" i="15"/>
  <c r="V119" i="15" s="1"/>
  <c r="S114" i="8"/>
  <c r="U114" i="8" s="1"/>
  <c r="C115" i="8" s="1"/>
  <c r="M114" i="8"/>
  <c r="Q114" i="8"/>
  <c r="R114" i="8"/>
  <c r="O114" i="8"/>
  <c r="N114" i="8"/>
  <c r="L114" i="8"/>
  <c r="S121" i="22" l="1"/>
  <c r="U121" i="22" s="1"/>
  <c r="C122" i="22" s="1"/>
  <c r="R121" i="22"/>
  <c r="Q121" i="22"/>
  <c r="M121" i="22"/>
  <c r="L121" i="22"/>
  <c r="V121" i="22" s="1"/>
  <c r="N121" i="22"/>
  <c r="P121" i="22"/>
  <c r="T121" i="22" s="1"/>
  <c r="O121" i="22"/>
  <c r="Q120" i="17"/>
  <c r="S120" i="17"/>
  <c r="U120" i="17" s="1"/>
  <c r="C121" i="17" s="1"/>
  <c r="M120" i="17"/>
  <c r="R120" i="17"/>
  <c r="O120" i="17"/>
  <c r="N120" i="17"/>
  <c r="L120" i="17"/>
  <c r="V120" i="17" s="1"/>
  <c r="P120" i="17"/>
  <c r="T120" i="17" s="1"/>
  <c r="B120" i="15"/>
  <c r="D120" i="15" s="1"/>
  <c r="E120" i="15" s="1"/>
  <c r="F120" i="15" s="1"/>
  <c r="G120" i="15" s="1"/>
  <c r="H120" i="15" s="1"/>
  <c r="W119" i="15"/>
  <c r="X119" i="15" s="1"/>
  <c r="V114" i="8"/>
  <c r="P114" i="8"/>
  <c r="T114" i="8" s="1"/>
  <c r="B122" i="22" l="1"/>
  <c r="D122" i="22" s="1"/>
  <c r="E122" i="22" s="1"/>
  <c r="F122" i="22" s="1"/>
  <c r="G122" i="22" s="1"/>
  <c r="H122" i="22" s="1"/>
  <c r="W121" i="22"/>
  <c r="X121" i="22" s="1"/>
  <c r="W120" i="17"/>
  <c r="X120" i="17" s="1"/>
  <c r="B121" i="17"/>
  <c r="D121" i="17" s="1"/>
  <c r="E121" i="17" s="1"/>
  <c r="F121" i="17" s="1"/>
  <c r="G121" i="17" s="1"/>
  <c r="H121" i="17" s="1"/>
  <c r="K120" i="15"/>
  <c r="I120" i="15"/>
  <c r="J120" i="15" s="1"/>
  <c r="W114" i="8"/>
  <c r="X114" i="8" s="1"/>
  <c r="B115" i="8"/>
  <c r="D115" i="8" s="1"/>
  <c r="E115" i="8" s="1"/>
  <c r="F115" i="8" s="1"/>
  <c r="G115" i="8" s="1"/>
  <c r="H115" i="8" s="1"/>
  <c r="K122" i="22" l="1"/>
  <c r="I122" i="22"/>
  <c r="J122" i="22" s="1"/>
  <c r="K121" i="17"/>
  <c r="I121" i="17"/>
  <c r="J121" i="17" s="1"/>
  <c r="L120" i="15"/>
  <c r="V120" i="15" s="1"/>
  <c r="P120" i="15"/>
  <c r="T120" i="15" s="1"/>
  <c r="O120" i="15"/>
  <c r="N120" i="15"/>
  <c r="M120" i="15"/>
  <c r="S120" i="15"/>
  <c r="U120" i="15" s="1"/>
  <c r="C121" i="15" s="1"/>
  <c r="R120" i="15"/>
  <c r="Q120" i="15"/>
  <c r="K115" i="8"/>
  <c r="I115" i="8"/>
  <c r="J115" i="8" s="1"/>
  <c r="O122" i="22" l="1"/>
  <c r="N122" i="22"/>
  <c r="P122" i="22"/>
  <c r="T122" i="22" s="1"/>
  <c r="L122" i="22"/>
  <c r="V122" i="22" s="1"/>
  <c r="M122" i="22"/>
  <c r="S122" i="22"/>
  <c r="U122" i="22" s="1"/>
  <c r="C123" i="22" s="1"/>
  <c r="R122" i="22"/>
  <c r="Q122" i="22"/>
  <c r="P121" i="17"/>
  <c r="T121" i="17" s="1"/>
  <c r="O121" i="17"/>
  <c r="N121" i="17"/>
  <c r="L121" i="17"/>
  <c r="V121" i="17" s="1"/>
  <c r="S121" i="17"/>
  <c r="U121" i="17" s="1"/>
  <c r="C122" i="17" s="1"/>
  <c r="R121" i="17"/>
  <c r="Q121" i="17"/>
  <c r="M121" i="17"/>
  <c r="W120" i="15"/>
  <c r="X120" i="15" s="1"/>
  <c r="B121" i="15"/>
  <c r="D121" i="15" s="1"/>
  <c r="E121" i="15" s="1"/>
  <c r="F121" i="15" s="1"/>
  <c r="G121" i="15" s="1"/>
  <c r="H121" i="15" s="1"/>
  <c r="L115" i="8"/>
  <c r="P115" i="8" s="1"/>
  <c r="T115" i="8" s="1"/>
  <c r="O115" i="8"/>
  <c r="N115" i="8"/>
  <c r="S115" i="8"/>
  <c r="U115" i="8" s="1"/>
  <c r="C116" i="8" s="1"/>
  <c r="M115" i="8"/>
  <c r="Q115" i="8"/>
  <c r="R115" i="8"/>
  <c r="W122" i="22" l="1"/>
  <c r="X122" i="22" s="1"/>
  <c r="B123" i="22"/>
  <c r="D123" i="22" s="1"/>
  <c r="E123" i="22" s="1"/>
  <c r="F123" i="22" s="1"/>
  <c r="G123" i="22" s="1"/>
  <c r="H123" i="22" s="1"/>
  <c r="B122" i="17"/>
  <c r="D122" i="17" s="1"/>
  <c r="E122" i="17" s="1"/>
  <c r="F122" i="17" s="1"/>
  <c r="G122" i="17" s="1"/>
  <c r="H122" i="17" s="1"/>
  <c r="W121" i="17"/>
  <c r="X121" i="17" s="1"/>
  <c r="I121" i="15"/>
  <c r="J121" i="15" s="1"/>
  <c r="K121" i="15"/>
  <c r="B116" i="8"/>
  <c r="D116" i="8" s="1"/>
  <c r="E116" i="8" s="1"/>
  <c r="F116" i="8" s="1"/>
  <c r="G116" i="8" s="1"/>
  <c r="H116" i="8" s="1"/>
  <c r="W115" i="8"/>
  <c r="V115" i="8"/>
  <c r="K123" i="22" l="1"/>
  <c r="I123" i="22"/>
  <c r="J123" i="22" s="1"/>
  <c r="I122" i="17"/>
  <c r="J122" i="17" s="1"/>
  <c r="K122" i="17"/>
  <c r="S121" i="15"/>
  <c r="U121" i="15" s="1"/>
  <c r="C122" i="15" s="1"/>
  <c r="R121" i="15"/>
  <c r="Q121" i="15"/>
  <c r="M121" i="15"/>
  <c r="O121" i="15"/>
  <c r="P121" i="15"/>
  <c r="T121" i="15" s="1"/>
  <c r="N121" i="15"/>
  <c r="L121" i="15"/>
  <c r="V121" i="15" s="1"/>
  <c r="X115" i="8"/>
  <c r="I116" i="8"/>
  <c r="J116" i="8" s="1"/>
  <c r="K116" i="8"/>
  <c r="P123" i="22" l="1"/>
  <c r="T123" i="22" s="1"/>
  <c r="O123" i="22"/>
  <c r="N123" i="22"/>
  <c r="L123" i="22"/>
  <c r="V123" i="22" s="1"/>
  <c r="S123" i="22"/>
  <c r="U123" i="22" s="1"/>
  <c r="C124" i="22" s="1"/>
  <c r="R123" i="22"/>
  <c r="Q123" i="22"/>
  <c r="M123" i="22"/>
  <c r="S122" i="17"/>
  <c r="U122" i="17" s="1"/>
  <c r="C123" i="17" s="1"/>
  <c r="M122" i="17"/>
  <c r="R122" i="17"/>
  <c r="Q122" i="17"/>
  <c r="N122" i="17"/>
  <c r="L122" i="17"/>
  <c r="V122" i="17" s="1"/>
  <c r="P122" i="17"/>
  <c r="T122" i="17" s="1"/>
  <c r="O122" i="17"/>
  <c r="W121" i="15"/>
  <c r="X121" i="15" s="1"/>
  <c r="B122" i="15"/>
  <c r="D122" i="15" s="1"/>
  <c r="E122" i="15" s="1"/>
  <c r="F122" i="15" s="1"/>
  <c r="G122" i="15" s="1"/>
  <c r="H122" i="15" s="1"/>
  <c r="R116" i="8"/>
  <c r="Q116" i="8"/>
  <c r="M116" i="8"/>
  <c r="S116" i="8"/>
  <c r="U116" i="8" s="1"/>
  <c r="C117" i="8" s="1"/>
  <c r="N116" i="8"/>
  <c r="L116" i="8"/>
  <c r="O116" i="8"/>
  <c r="W123" i="22" l="1"/>
  <c r="X123" i="22" s="1"/>
  <c r="B124" i="22"/>
  <c r="D124" i="22" s="1"/>
  <c r="E124" i="22" s="1"/>
  <c r="F124" i="22" s="1"/>
  <c r="G124" i="22" s="1"/>
  <c r="H124" i="22" s="1"/>
  <c r="B123" i="17"/>
  <c r="D123" i="17" s="1"/>
  <c r="E123" i="17" s="1"/>
  <c r="F123" i="17" s="1"/>
  <c r="G123" i="17" s="1"/>
  <c r="H123" i="17" s="1"/>
  <c r="W122" i="17"/>
  <c r="X122" i="17" s="1"/>
  <c r="K122" i="15"/>
  <c r="I122" i="15"/>
  <c r="J122" i="15" s="1"/>
  <c r="V116" i="8"/>
  <c r="P116" i="8"/>
  <c r="T116" i="8" s="1"/>
  <c r="K124" i="22" l="1"/>
  <c r="I124" i="22"/>
  <c r="J124" i="22" s="1"/>
  <c r="I123" i="17"/>
  <c r="J123" i="17" s="1"/>
  <c r="K123" i="17"/>
  <c r="O122" i="15"/>
  <c r="N122" i="15"/>
  <c r="P122" i="15"/>
  <c r="T122" i="15" s="1"/>
  <c r="L122" i="15"/>
  <c r="V122" i="15" s="1"/>
  <c r="M122" i="15"/>
  <c r="S122" i="15"/>
  <c r="U122" i="15" s="1"/>
  <c r="C123" i="15" s="1"/>
  <c r="R122" i="15"/>
  <c r="Q122" i="15"/>
  <c r="W116" i="8"/>
  <c r="X116" i="8" s="1"/>
  <c r="B117" i="8"/>
  <c r="D117" i="8" s="1"/>
  <c r="E117" i="8" s="1"/>
  <c r="F117" i="8" s="1"/>
  <c r="G117" i="8" s="1"/>
  <c r="H117" i="8" s="1"/>
  <c r="P124" i="22" l="1"/>
  <c r="T124" i="22" s="1"/>
  <c r="O124" i="22"/>
  <c r="N124" i="22"/>
  <c r="L124" i="22"/>
  <c r="V124" i="22" s="1"/>
  <c r="Q124" i="22"/>
  <c r="S124" i="22"/>
  <c r="U124" i="22" s="1"/>
  <c r="C125" i="22" s="1"/>
  <c r="R124" i="22"/>
  <c r="M124" i="22"/>
  <c r="S123" i="17"/>
  <c r="U123" i="17" s="1"/>
  <c r="C124" i="17" s="1"/>
  <c r="M123" i="17"/>
  <c r="Q123" i="17"/>
  <c r="R123" i="17"/>
  <c r="L123" i="17"/>
  <c r="V123" i="17" s="1"/>
  <c r="P123" i="17"/>
  <c r="T123" i="17" s="1"/>
  <c r="O123" i="17"/>
  <c r="N123" i="17"/>
  <c r="B123" i="15"/>
  <c r="D123" i="15" s="1"/>
  <c r="E123" i="15" s="1"/>
  <c r="F123" i="15" s="1"/>
  <c r="G123" i="15" s="1"/>
  <c r="H123" i="15" s="1"/>
  <c r="W122" i="15"/>
  <c r="X122" i="15" s="1"/>
  <c r="I117" i="8"/>
  <c r="J117" i="8" s="1"/>
  <c r="K117" i="8"/>
  <c r="B125" i="22" l="1"/>
  <c r="D125" i="22" s="1"/>
  <c r="E125" i="22" s="1"/>
  <c r="F125" i="22" s="1"/>
  <c r="G125" i="22" s="1"/>
  <c r="H125" i="22" s="1"/>
  <c r="W124" i="22"/>
  <c r="X124" i="22" s="1"/>
  <c r="W123" i="17"/>
  <c r="X123" i="17" s="1"/>
  <c r="B124" i="17"/>
  <c r="D124" i="17" s="1"/>
  <c r="E124" i="17" s="1"/>
  <c r="F124" i="17" s="1"/>
  <c r="G124" i="17" s="1"/>
  <c r="H124" i="17" s="1"/>
  <c r="I123" i="15"/>
  <c r="J123" i="15" s="1"/>
  <c r="K123" i="15"/>
  <c r="S117" i="8"/>
  <c r="U117" i="8" s="1"/>
  <c r="C118" i="8" s="1"/>
  <c r="R117" i="8"/>
  <c r="Q117" i="8"/>
  <c r="M117" i="8"/>
  <c r="L117" i="8"/>
  <c r="V117" i="8" s="1"/>
  <c r="O117" i="8"/>
  <c r="N117" i="8"/>
  <c r="I125" i="22" l="1"/>
  <c r="J125" i="22" s="1"/>
  <c r="K125" i="22"/>
  <c r="K124" i="17"/>
  <c r="I124" i="17"/>
  <c r="J124" i="17" s="1"/>
  <c r="Q123" i="15"/>
  <c r="M123" i="15"/>
  <c r="S123" i="15"/>
  <c r="U123" i="15" s="1"/>
  <c r="C124" i="15" s="1"/>
  <c r="R123" i="15"/>
  <c r="P123" i="15"/>
  <c r="T123" i="15" s="1"/>
  <c r="O123" i="15"/>
  <c r="N123" i="15"/>
  <c r="L123" i="15"/>
  <c r="V123" i="15" s="1"/>
  <c r="P117" i="8"/>
  <c r="T117" i="8" s="1"/>
  <c r="M125" i="22" l="1"/>
  <c r="R125" i="22"/>
  <c r="S125" i="22"/>
  <c r="U125" i="22" s="1"/>
  <c r="C126" i="22" s="1"/>
  <c r="Q125" i="22"/>
  <c r="O125" i="22"/>
  <c r="N125" i="22"/>
  <c r="L125" i="22"/>
  <c r="V125" i="22" s="1"/>
  <c r="P125" i="22"/>
  <c r="T125" i="22" s="1"/>
  <c r="P124" i="17"/>
  <c r="T124" i="17" s="1"/>
  <c r="O124" i="17"/>
  <c r="N124" i="17"/>
  <c r="L124" i="17"/>
  <c r="V124" i="17" s="1"/>
  <c r="M124" i="17"/>
  <c r="R124" i="17"/>
  <c r="Q124" i="17"/>
  <c r="S124" i="17"/>
  <c r="U124" i="17" s="1"/>
  <c r="C125" i="17" s="1"/>
  <c r="W123" i="15"/>
  <c r="X123" i="15" s="1"/>
  <c r="B124" i="15"/>
  <c r="D124" i="15" s="1"/>
  <c r="E124" i="15" s="1"/>
  <c r="F124" i="15" s="1"/>
  <c r="G124" i="15" s="1"/>
  <c r="H124" i="15" s="1"/>
  <c r="W117" i="8"/>
  <c r="X117" i="8" s="1"/>
  <c r="B118" i="8"/>
  <c r="D118" i="8" s="1"/>
  <c r="E118" i="8" s="1"/>
  <c r="F118" i="8" s="1"/>
  <c r="G118" i="8" s="1"/>
  <c r="H118" i="8" s="1"/>
  <c r="B126" i="22" l="1"/>
  <c r="D126" i="22" s="1"/>
  <c r="E126" i="22" s="1"/>
  <c r="F126" i="22" s="1"/>
  <c r="G126" i="22" s="1"/>
  <c r="H126" i="22" s="1"/>
  <c r="W125" i="22"/>
  <c r="X125" i="22" s="1"/>
  <c r="B125" i="17"/>
  <c r="D125" i="17" s="1"/>
  <c r="E125" i="17" s="1"/>
  <c r="F125" i="17" s="1"/>
  <c r="G125" i="17" s="1"/>
  <c r="H125" i="17" s="1"/>
  <c r="W124" i="17"/>
  <c r="X124" i="17" s="1"/>
  <c r="K124" i="15"/>
  <c r="I124" i="15"/>
  <c r="J124" i="15" s="1"/>
  <c r="K118" i="8"/>
  <c r="I118" i="8"/>
  <c r="J118" i="8" s="1"/>
  <c r="K126" i="22" l="1"/>
  <c r="I126" i="22"/>
  <c r="J126" i="22" s="1"/>
  <c r="I125" i="17"/>
  <c r="J125" i="17" s="1"/>
  <c r="K125" i="17"/>
  <c r="P124" i="15"/>
  <c r="T124" i="15" s="1"/>
  <c r="O124" i="15"/>
  <c r="N124" i="15"/>
  <c r="L124" i="15"/>
  <c r="V124" i="15" s="1"/>
  <c r="Q124" i="15"/>
  <c r="M124" i="15"/>
  <c r="S124" i="15"/>
  <c r="U124" i="15" s="1"/>
  <c r="C125" i="15" s="1"/>
  <c r="R124" i="15"/>
  <c r="O118" i="8"/>
  <c r="L118" i="8"/>
  <c r="N118" i="8"/>
  <c r="S118" i="8"/>
  <c r="U118" i="8" s="1"/>
  <c r="C119" i="8" s="1"/>
  <c r="M118" i="8"/>
  <c r="Q118" i="8"/>
  <c r="R118" i="8"/>
  <c r="P126" i="22" l="1"/>
  <c r="T126" i="22" s="1"/>
  <c r="N126" i="22"/>
  <c r="O126" i="22"/>
  <c r="L126" i="22"/>
  <c r="V126" i="22" s="1"/>
  <c r="S126" i="22"/>
  <c r="U126" i="22" s="1"/>
  <c r="C127" i="22" s="1"/>
  <c r="R126" i="22"/>
  <c r="Q126" i="22"/>
  <c r="M126" i="22"/>
  <c r="R125" i="17"/>
  <c r="S125" i="17"/>
  <c r="U125" i="17" s="1"/>
  <c r="C126" i="17" s="1"/>
  <c r="Q125" i="17"/>
  <c r="M125" i="17"/>
  <c r="P125" i="17"/>
  <c r="T125" i="17" s="1"/>
  <c r="O125" i="17"/>
  <c r="N125" i="17"/>
  <c r="L125" i="17"/>
  <c r="V125" i="17" s="1"/>
  <c r="W124" i="15"/>
  <c r="X124" i="15" s="1"/>
  <c r="B125" i="15"/>
  <c r="D125" i="15" s="1"/>
  <c r="E125" i="15" s="1"/>
  <c r="F125" i="15" s="1"/>
  <c r="G125" i="15" s="1"/>
  <c r="H125" i="15" s="1"/>
  <c r="V118" i="8"/>
  <c r="P118" i="8"/>
  <c r="T118" i="8" s="1"/>
  <c r="B127" i="22" l="1"/>
  <c r="D127" i="22" s="1"/>
  <c r="E127" i="22" s="1"/>
  <c r="F127" i="22" s="1"/>
  <c r="G127" i="22" s="1"/>
  <c r="H127" i="22" s="1"/>
  <c r="W126" i="22"/>
  <c r="X126" i="22" s="1"/>
  <c r="B126" i="17"/>
  <c r="D126" i="17" s="1"/>
  <c r="E126" i="17" s="1"/>
  <c r="F126" i="17" s="1"/>
  <c r="G126" i="17" s="1"/>
  <c r="H126" i="17" s="1"/>
  <c r="W125" i="17"/>
  <c r="X125" i="17" s="1"/>
  <c r="I125" i="15"/>
  <c r="J125" i="15" s="1"/>
  <c r="K125" i="15"/>
  <c r="B119" i="8"/>
  <c r="D119" i="8" s="1"/>
  <c r="E119" i="8" s="1"/>
  <c r="F119" i="8" s="1"/>
  <c r="G119" i="8" s="1"/>
  <c r="H119" i="8" s="1"/>
  <c r="W118" i="8"/>
  <c r="X118" i="8" s="1"/>
  <c r="K127" i="22" l="1"/>
  <c r="I127" i="22"/>
  <c r="J127" i="22" s="1"/>
  <c r="K126" i="17"/>
  <c r="I126" i="17"/>
  <c r="J126" i="17" s="1"/>
  <c r="R125" i="15"/>
  <c r="Q125" i="15"/>
  <c r="M125" i="15"/>
  <c r="S125" i="15"/>
  <c r="U125" i="15" s="1"/>
  <c r="C126" i="15" s="1"/>
  <c r="P125" i="15"/>
  <c r="T125" i="15" s="1"/>
  <c r="O125" i="15"/>
  <c r="N125" i="15"/>
  <c r="L125" i="15"/>
  <c r="V125" i="15" s="1"/>
  <c r="I119" i="8"/>
  <c r="J119" i="8" s="1"/>
  <c r="K119" i="8"/>
  <c r="L127" i="22" l="1"/>
  <c r="V127" i="22" s="1"/>
  <c r="O127" i="22"/>
  <c r="P127" i="22"/>
  <c r="T127" i="22" s="1"/>
  <c r="N127" i="22"/>
  <c r="M127" i="22"/>
  <c r="S127" i="22"/>
  <c r="U127" i="22" s="1"/>
  <c r="C128" i="22" s="1"/>
  <c r="R127" i="22"/>
  <c r="Q127" i="22"/>
  <c r="L126" i="17"/>
  <c r="V126" i="17" s="1"/>
  <c r="P126" i="17"/>
  <c r="T126" i="17" s="1"/>
  <c r="O126" i="17"/>
  <c r="N126" i="17"/>
  <c r="R126" i="17"/>
  <c r="S126" i="17"/>
  <c r="U126" i="17" s="1"/>
  <c r="C127" i="17" s="1"/>
  <c r="Q126" i="17"/>
  <c r="M126" i="17"/>
  <c r="B126" i="15"/>
  <c r="D126" i="15" s="1"/>
  <c r="E126" i="15" s="1"/>
  <c r="F126" i="15" s="1"/>
  <c r="G126" i="15" s="1"/>
  <c r="H126" i="15" s="1"/>
  <c r="W125" i="15"/>
  <c r="X125" i="15" s="1"/>
  <c r="S119" i="8"/>
  <c r="U119" i="8" s="1"/>
  <c r="C120" i="8" s="1"/>
  <c r="M119" i="8"/>
  <c r="Q119" i="8"/>
  <c r="R119" i="8"/>
  <c r="N119" i="8"/>
  <c r="L119" i="8"/>
  <c r="O119" i="8"/>
  <c r="B128" i="22" l="1"/>
  <c r="D128" i="22" s="1"/>
  <c r="E128" i="22" s="1"/>
  <c r="F128" i="22" s="1"/>
  <c r="G128" i="22" s="1"/>
  <c r="H128" i="22" s="1"/>
  <c r="W127" i="22"/>
  <c r="X127" i="22" s="1"/>
  <c r="W126" i="17"/>
  <c r="X126" i="17" s="1"/>
  <c r="B127" i="17"/>
  <c r="D127" i="17" s="1"/>
  <c r="E127" i="17" s="1"/>
  <c r="F127" i="17" s="1"/>
  <c r="G127" i="17" s="1"/>
  <c r="H127" i="17" s="1"/>
  <c r="K126" i="15"/>
  <c r="I126" i="15"/>
  <c r="J126" i="15" s="1"/>
  <c r="V119" i="8"/>
  <c r="P119" i="8"/>
  <c r="T119" i="8" s="1"/>
  <c r="I128" i="22" l="1"/>
  <c r="J128" i="22" s="1"/>
  <c r="K128" i="22"/>
  <c r="K127" i="17"/>
  <c r="I127" i="17"/>
  <c r="J127" i="17" s="1"/>
  <c r="L126" i="15"/>
  <c r="V126" i="15" s="1"/>
  <c r="P126" i="15"/>
  <c r="T126" i="15" s="1"/>
  <c r="O126" i="15"/>
  <c r="N126" i="15"/>
  <c r="R126" i="15"/>
  <c r="Q126" i="15"/>
  <c r="M126" i="15"/>
  <c r="S126" i="15"/>
  <c r="U126" i="15" s="1"/>
  <c r="C127" i="15" s="1"/>
  <c r="B120" i="8"/>
  <c r="D120" i="8" s="1"/>
  <c r="E120" i="8" s="1"/>
  <c r="F120" i="8" s="1"/>
  <c r="G120" i="8" s="1"/>
  <c r="H120" i="8" s="1"/>
  <c r="W119" i="8"/>
  <c r="X119" i="8" s="1"/>
  <c r="S128" i="22" l="1"/>
  <c r="U128" i="22" s="1"/>
  <c r="C129" i="22" s="1"/>
  <c r="R128" i="22"/>
  <c r="Q128" i="22"/>
  <c r="M128" i="22"/>
  <c r="P128" i="22"/>
  <c r="T128" i="22" s="1"/>
  <c r="O128" i="22"/>
  <c r="N128" i="22"/>
  <c r="L128" i="22"/>
  <c r="V128" i="22" s="1"/>
  <c r="P127" i="17"/>
  <c r="T127" i="17" s="1"/>
  <c r="O127" i="17"/>
  <c r="N127" i="17"/>
  <c r="L127" i="17"/>
  <c r="V127" i="17" s="1"/>
  <c r="M127" i="17"/>
  <c r="S127" i="17"/>
  <c r="U127" i="17" s="1"/>
  <c r="C128" i="17" s="1"/>
  <c r="R127" i="17"/>
  <c r="Q127" i="17"/>
  <c r="B127" i="15"/>
  <c r="D127" i="15" s="1"/>
  <c r="E127" i="15" s="1"/>
  <c r="F127" i="15" s="1"/>
  <c r="G127" i="15" s="1"/>
  <c r="H127" i="15" s="1"/>
  <c r="W126" i="15"/>
  <c r="X126" i="15" s="1"/>
  <c r="K120" i="8"/>
  <c r="I120" i="8"/>
  <c r="J120" i="8" s="1"/>
  <c r="B129" i="22" l="1"/>
  <c r="D129" i="22" s="1"/>
  <c r="E129" i="22" s="1"/>
  <c r="F129" i="22" s="1"/>
  <c r="G129" i="22" s="1"/>
  <c r="H129" i="22" s="1"/>
  <c r="W128" i="22"/>
  <c r="X128" i="22" s="1"/>
  <c r="W127" i="17"/>
  <c r="X127" i="17" s="1"/>
  <c r="B128" i="17"/>
  <c r="D128" i="17" s="1"/>
  <c r="E128" i="17" s="1"/>
  <c r="F128" i="17" s="1"/>
  <c r="G128" i="17" s="1"/>
  <c r="H128" i="17" s="1"/>
  <c r="K127" i="15"/>
  <c r="I127" i="15"/>
  <c r="J127" i="15" s="1"/>
  <c r="O120" i="8"/>
  <c r="N120" i="8"/>
  <c r="L120" i="8"/>
  <c r="S120" i="8"/>
  <c r="U120" i="8" s="1"/>
  <c r="C121" i="8" s="1"/>
  <c r="Q120" i="8"/>
  <c r="M120" i="8"/>
  <c r="R120" i="8"/>
  <c r="K129" i="22" l="1"/>
  <c r="I129" i="22"/>
  <c r="J129" i="22" s="1"/>
  <c r="I128" i="17"/>
  <c r="J128" i="17" s="1"/>
  <c r="K128" i="17"/>
  <c r="P127" i="15"/>
  <c r="T127" i="15" s="1"/>
  <c r="O127" i="15"/>
  <c r="N127" i="15"/>
  <c r="L127" i="15"/>
  <c r="V127" i="15" s="1"/>
  <c r="M127" i="15"/>
  <c r="S127" i="15"/>
  <c r="U127" i="15" s="1"/>
  <c r="C128" i="15" s="1"/>
  <c r="R127" i="15"/>
  <c r="Q127" i="15"/>
  <c r="V120" i="8"/>
  <c r="P120" i="8"/>
  <c r="T120" i="8" s="1"/>
  <c r="N129" i="22" l="1"/>
  <c r="L129" i="22"/>
  <c r="V129" i="22" s="1"/>
  <c r="P129" i="22"/>
  <c r="T129" i="22" s="1"/>
  <c r="O129" i="22"/>
  <c r="M129" i="22"/>
  <c r="S129" i="22"/>
  <c r="U129" i="22" s="1"/>
  <c r="C130" i="22" s="1"/>
  <c r="R129" i="22"/>
  <c r="Q129" i="22"/>
  <c r="Q128" i="17"/>
  <c r="S128" i="17"/>
  <c r="U128" i="17" s="1"/>
  <c r="C129" i="17" s="1"/>
  <c r="R128" i="17"/>
  <c r="M128" i="17"/>
  <c r="P128" i="17"/>
  <c r="T128" i="17" s="1"/>
  <c r="O128" i="17"/>
  <c r="N128" i="17"/>
  <c r="L128" i="17"/>
  <c r="V128" i="17" s="1"/>
  <c r="B128" i="15"/>
  <c r="D128" i="15" s="1"/>
  <c r="E128" i="15" s="1"/>
  <c r="F128" i="15" s="1"/>
  <c r="G128" i="15" s="1"/>
  <c r="H128" i="15" s="1"/>
  <c r="W127" i="15"/>
  <c r="X127" i="15" s="1"/>
  <c r="W120" i="8"/>
  <c r="X120" i="8" s="1"/>
  <c r="B121" i="8"/>
  <c r="D121" i="8" s="1"/>
  <c r="E121" i="8" s="1"/>
  <c r="F121" i="8" s="1"/>
  <c r="G121" i="8" s="1"/>
  <c r="H121" i="8" s="1"/>
  <c r="B130" i="22" l="1"/>
  <c r="D130" i="22" s="1"/>
  <c r="E130" i="22" s="1"/>
  <c r="F130" i="22" s="1"/>
  <c r="G130" i="22" s="1"/>
  <c r="H130" i="22" s="1"/>
  <c r="W129" i="22"/>
  <c r="X129" i="22" s="1"/>
  <c r="B129" i="17"/>
  <c r="D129" i="17" s="1"/>
  <c r="E129" i="17" s="1"/>
  <c r="F129" i="17" s="1"/>
  <c r="G129" i="17" s="1"/>
  <c r="H129" i="17" s="1"/>
  <c r="W128" i="17"/>
  <c r="X128" i="17" s="1"/>
  <c r="K128" i="15"/>
  <c r="I128" i="15"/>
  <c r="J128" i="15" s="1"/>
  <c r="K121" i="8"/>
  <c r="I121" i="8"/>
  <c r="J121" i="8" s="1"/>
  <c r="K130" i="22" l="1"/>
  <c r="I130" i="22"/>
  <c r="J130" i="22" s="1"/>
  <c r="K129" i="17"/>
  <c r="I129" i="17"/>
  <c r="J129" i="17" s="1"/>
  <c r="N128" i="15"/>
  <c r="L128" i="15"/>
  <c r="V128" i="15" s="1"/>
  <c r="P128" i="15"/>
  <c r="T128" i="15" s="1"/>
  <c r="O128" i="15"/>
  <c r="S128" i="15"/>
  <c r="U128" i="15" s="1"/>
  <c r="C129" i="15" s="1"/>
  <c r="M128" i="15"/>
  <c r="R128" i="15"/>
  <c r="Q128" i="15"/>
  <c r="N121" i="8"/>
  <c r="L121" i="8"/>
  <c r="O121" i="8"/>
  <c r="M121" i="8"/>
  <c r="S121" i="8"/>
  <c r="U121" i="8" s="1"/>
  <c r="C122" i="8" s="1"/>
  <c r="Q121" i="8"/>
  <c r="R121" i="8"/>
  <c r="P130" i="22" l="1"/>
  <c r="T130" i="22" s="1"/>
  <c r="O130" i="22"/>
  <c r="N130" i="22"/>
  <c r="L130" i="22"/>
  <c r="V130" i="22" s="1"/>
  <c r="Q130" i="22"/>
  <c r="M130" i="22"/>
  <c r="S130" i="22"/>
  <c r="U130" i="22" s="1"/>
  <c r="C131" i="22" s="1"/>
  <c r="R130" i="22"/>
  <c r="P129" i="17"/>
  <c r="T129" i="17" s="1"/>
  <c r="O129" i="17"/>
  <c r="N129" i="17"/>
  <c r="L129" i="17"/>
  <c r="V129" i="17" s="1"/>
  <c r="M129" i="17"/>
  <c r="S129" i="17"/>
  <c r="U129" i="17" s="1"/>
  <c r="C130" i="17" s="1"/>
  <c r="R129" i="17"/>
  <c r="Q129" i="17"/>
  <c r="W128" i="15"/>
  <c r="X128" i="15" s="1"/>
  <c r="B129" i="15"/>
  <c r="D129" i="15" s="1"/>
  <c r="E129" i="15" s="1"/>
  <c r="F129" i="15" s="1"/>
  <c r="G129" i="15" s="1"/>
  <c r="H129" i="15" s="1"/>
  <c r="V121" i="8"/>
  <c r="P121" i="8"/>
  <c r="T121" i="8" s="1"/>
  <c r="W130" i="22" l="1"/>
  <c r="X130" i="22" s="1"/>
  <c r="B131" i="22"/>
  <c r="D131" i="22" s="1"/>
  <c r="E131" i="22" s="1"/>
  <c r="F131" i="22" s="1"/>
  <c r="G131" i="22" s="1"/>
  <c r="H131" i="22" s="1"/>
  <c r="W129" i="17"/>
  <c r="X129" i="17" s="1"/>
  <c r="B130" i="17"/>
  <c r="D130" i="17" s="1"/>
  <c r="E130" i="17" s="1"/>
  <c r="F130" i="17" s="1"/>
  <c r="G130" i="17" s="1"/>
  <c r="H130" i="17" s="1"/>
  <c r="K129" i="15"/>
  <c r="I129" i="15"/>
  <c r="J129" i="15" s="1"/>
  <c r="W121" i="8"/>
  <c r="X121" i="8" s="1"/>
  <c r="B122" i="8"/>
  <c r="D122" i="8" s="1"/>
  <c r="E122" i="8" s="1"/>
  <c r="F122" i="8" s="1"/>
  <c r="G122" i="8" s="1"/>
  <c r="H122" i="8" s="1"/>
  <c r="K131" i="22" l="1"/>
  <c r="I131" i="22"/>
  <c r="J131" i="22" s="1"/>
  <c r="K130" i="17"/>
  <c r="I130" i="17"/>
  <c r="J130" i="17" s="1"/>
  <c r="M129" i="15"/>
  <c r="R129" i="15"/>
  <c r="Q129" i="15"/>
  <c r="S129" i="15"/>
  <c r="U129" i="15" s="1"/>
  <c r="C130" i="15" s="1"/>
  <c r="L129" i="15"/>
  <c r="V129" i="15" s="1"/>
  <c r="P129" i="15"/>
  <c r="T129" i="15" s="1"/>
  <c r="N129" i="15"/>
  <c r="O129" i="15"/>
  <c r="K122" i="8"/>
  <c r="I122" i="8"/>
  <c r="J122" i="8" s="1"/>
  <c r="P131" i="22" l="1"/>
  <c r="T131" i="22" s="1"/>
  <c r="O131" i="22"/>
  <c r="N131" i="22"/>
  <c r="L131" i="22"/>
  <c r="V131" i="22" s="1"/>
  <c r="M131" i="22"/>
  <c r="S131" i="22"/>
  <c r="U131" i="22" s="1"/>
  <c r="C132" i="22" s="1"/>
  <c r="R131" i="22"/>
  <c r="Q131" i="22"/>
  <c r="O130" i="17"/>
  <c r="N130" i="17"/>
  <c r="L130" i="17"/>
  <c r="V130" i="17" s="1"/>
  <c r="P130" i="17"/>
  <c r="T130" i="17" s="1"/>
  <c r="M130" i="17"/>
  <c r="S130" i="17"/>
  <c r="U130" i="17" s="1"/>
  <c r="C131" i="17" s="1"/>
  <c r="R130" i="17"/>
  <c r="Q130" i="17"/>
  <c r="B130" i="15"/>
  <c r="D130" i="15" s="1"/>
  <c r="E130" i="15" s="1"/>
  <c r="F130" i="15" s="1"/>
  <c r="G130" i="15" s="1"/>
  <c r="H130" i="15" s="1"/>
  <c r="W129" i="15"/>
  <c r="X129" i="15" s="1"/>
  <c r="O122" i="8"/>
  <c r="N122" i="8"/>
  <c r="L122" i="8"/>
  <c r="S122" i="8"/>
  <c r="U122" i="8" s="1"/>
  <c r="C123" i="8" s="1"/>
  <c r="M122" i="8"/>
  <c r="R122" i="8"/>
  <c r="Q122" i="8"/>
  <c r="B132" i="22" l="1"/>
  <c r="D132" i="22" s="1"/>
  <c r="E132" i="22" s="1"/>
  <c r="F132" i="22" s="1"/>
  <c r="G132" i="22" s="1"/>
  <c r="H132" i="22" s="1"/>
  <c r="W131" i="22"/>
  <c r="X131" i="22" s="1"/>
  <c r="W130" i="17"/>
  <c r="X130" i="17" s="1"/>
  <c r="B131" i="17"/>
  <c r="D131" i="17" s="1"/>
  <c r="E131" i="17" s="1"/>
  <c r="F131" i="17" s="1"/>
  <c r="G131" i="17" s="1"/>
  <c r="H131" i="17" s="1"/>
  <c r="K130" i="15"/>
  <c r="I130" i="15"/>
  <c r="J130" i="15" s="1"/>
  <c r="V122" i="8"/>
  <c r="P122" i="8"/>
  <c r="T122" i="8" s="1"/>
  <c r="I132" i="22" l="1"/>
  <c r="J132" i="22" s="1"/>
  <c r="K132" i="22"/>
  <c r="I131" i="17"/>
  <c r="J131" i="17" s="1"/>
  <c r="K131" i="17"/>
  <c r="N130" i="15"/>
  <c r="L130" i="15"/>
  <c r="V130" i="15" s="1"/>
  <c r="P130" i="15"/>
  <c r="T130" i="15" s="1"/>
  <c r="O130" i="15"/>
  <c r="M130" i="15"/>
  <c r="S130" i="15"/>
  <c r="U130" i="15" s="1"/>
  <c r="C131" i="15" s="1"/>
  <c r="R130" i="15"/>
  <c r="Q130" i="15"/>
  <c r="B123" i="8"/>
  <c r="D123" i="8" s="1"/>
  <c r="E123" i="8" s="1"/>
  <c r="F123" i="8" s="1"/>
  <c r="G123" i="8" s="1"/>
  <c r="H123" i="8" s="1"/>
  <c r="W122" i="8"/>
  <c r="X122" i="8" s="1"/>
  <c r="S132" i="22" l="1"/>
  <c r="U132" i="22" s="1"/>
  <c r="C133" i="22" s="1"/>
  <c r="R132" i="22"/>
  <c r="Q132" i="22"/>
  <c r="M132" i="22"/>
  <c r="L132" i="22"/>
  <c r="V132" i="22" s="1"/>
  <c r="O132" i="22"/>
  <c r="P132" i="22"/>
  <c r="T132" i="22" s="1"/>
  <c r="N132" i="22"/>
  <c r="Q131" i="17"/>
  <c r="S131" i="17"/>
  <c r="U131" i="17" s="1"/>
  <c r="C132" i="17" s="1"/>
  <c r="R131" i="17"/>
  <c r="M131" i="17"/>
  <c r="O131" i="17"/>
  <c r="P131" i="17"/>
  <c r="T131" i="17" s="1"/>
  <c r="N131" i="17"/>
  <c r="L131" i="17"/>
  <c r="V131" i="17" s="1"/>
  <c r="W130" i="15"/>
  <c r="X130" i="15" s="1"/>
  <c r="B131" i="15"/>
  <c r="D131" i="15" s="1"/>
  <c r="E131" i="15" s="1"/>
  <c r="F131" i="15" s="1"/>
  <c r="G131" i="15" s="1"/>
  <c r="H131" i="15" s="1"/>
  <c r="I123" i="8"/>
  <c r="J123" i="8" s="1"/>
  <c r="K123" i="8"/>
  <c r="B133" i="22" l="1"/>
  <c r="D133" i="22" s="1"/>
  <c r="E133" i="22" s="1"/>
  <c r="F133" i="22" s="1"/>
  <c r="G133" i="22" s="1"/>
  <c r="H133" i="22" s="1"/>
  <c r="W132" i="22"/>
  <c r="X132" i="22" s="1"/>
  <c r="B132" i="17"/>
  <c r="D132" i="17" s="1"/>
  <c r="E132" i="17" s="1"/>
  <c r="F132" i="17" s="1"/>
  <c r="G132" i="17" s="1"/>
  <c r="H132" i="17" s="1"/>
  <c r="W131" i="17"/>
  <c r="X131" i="17" s="1"/>
  <c r="I131" i="15"/>
  <c r="J131" i="15" s="1"/>
  <c r="K131" i="15"/>
  <c r="S123" i="8"/>
  <c r="U123" i="8" s="1"/>
  <c r="C124" i="8" s="1"/>
  <c r="M123" i="8"/>
  <c r="R123" i="8"/>
  <c r="Q123" i="8"/>
  <c r="N123" i="8"/>
  <c r="L123" i="8"/>
  <c r="V123" i="8" s="1"/>
  <c r="O123" i="8"/>
  <c r="I133" i="22" l="1"/>
  <c r="J133" i="22" s="1"/>
  <c r="K133" i="22"/>
  <c r="K132" i="17"/>
  <c r="I132" i="17"/>
  <c r="J132" i="17" s="1"/>
  <c r="M131" i="15"/>
  <c r="R131" i="15"/>
  <c r="Q131" i="15"/>
  <c r="S131" i="15"/>
  <c r="U131" i="15" s="1"/>
  <c r="C132" i="15" s="1"/>
  <c r="O131" i="15"/>
  <c r="N131" i="15"/>
  <c r="P131" i="15"/>
  <c r="T131" i="15" s="1"/>
  <c r="L131" i="15"/>
  <c r="V131" i="15" s="1"/>
  <c r="P123" i="8"/>
  <c r="T123" i="8" s="1"/>
  <c r="R133" i="22" l="1"/>
  <c r="Q133" i="22"/>
  <c r="M133" i="22"/>
  <c r="S133" i="22"/>
  <c r="U133" i="22" s="1"/>
  <c r="C134" i="22" s="1"/>
  <c r="P133" i="22"/>
  <c r="T133" i="22" s="1"/>
  <c r="O133" i="22"/>
  <c r="N133" i="22"/>
  <c r="L133" i="22"/>
  <c r="V133" i="22" s="1"/>
  <c r="P132" i="17"/>
  <c r="T132" i="17" s="1"/>
  <c r="O132" i="17"/>
  <c r="N132" i="17"/>
  <c r="L132" i="17"/>
  <c r="V132" i="17" s="1"/>
  <c r="S132" i="17"/>
  <c r="U132" i="17" s="1"/>
  <c r="C133" i="17" s="1"/>
  <c r="R132" i="17"/>
  <c r="Q132" i="17"/>
  <c r="M132" i="17"/>
  <c r="B132" i="15"/>
  <c r="D132" i="15" s="1"/>
  <c r="E132" i="15" s="1"/>
  <c r="F132" i="15" s="1"/>
  <c r="G132" i="15" s="1"/>
  <c r="H132" i="15" s="1"/>
  <c r="W131" i="15"/>
  <c r="X131" i="15" s="1"/>
  <c r="W123" i="8"/>
  <c r="X123" i="8" s="1"/>
  <c r="B124" i="8"/>
  <c r="D124" i="8" s="1"/>
  <c r="E124" i="8" s="1"/>
  <c r="F124" i="8" s="1"/>
  <c r="G124" i="8" s="1"/>
  <c r="H124" i="8" s="1"/>
  <c r="B134" i="22" l="1"/>
  <c r="D134" i="22" s="1"/>
  <c r="E134" i="22" s="1"/>
  <c r="F134" i="22" s="1"/>
  <c r="G134" i="22" s="1"/>
  <c r="H134" i="22" s="1"/>
  <c r="W133" i="22"/>
  <c r="X133" i="22" s="1"/>
  <c r="B133" i="17"/>
  <c r="D133" i="17" s="1"/>
  <c r="E133" i="17" s="1"/>
  <c r="F133" i="17" s="1"/>
  <c r="G133" i="17" s="1"/>
  <c r="H133" i="17" s="1"/>
  <c r="W132" i="17"/>
  <c r="X132" i="17" s="1"/>
  <c r="I132" i="15"/>
  <c r="J132" i="15" s="1"/>
  <c r="K132" i="15"/>
  <c r="K124" i="8"/>
  <c r="I124" i="8"/>
  <c r="J124" i="8" s="1"/>
  <c r="K134" i="22" l="1"/>
  <c r="I134" i="22"/>
  <c r="J134" i="22" s="1"/>
  <c r="K133" i="17"/>
  <c r="I133" i="17"/>
  <c r="J133" i="17" s="1"/>
  <c r="Q132" i="15"/>
  <c r="M132" i="15"/>
  <c r="R132" i="15"/>
  <c r="S132" i="15"/>
  <c r="U132" i="15" s="1"/>
  <c r="C133" i="15" s="1"/>
  <c r="P132" i="15"/>
  <c r="T132" i="15" s="1"/>
  <c r="O132" i="15"/>
  <c r="N132" i="15"/>
  <c r="L132" i="15"/>
  <c r="V132" i="15" s="1"/>
  <c r="N124" i="8"/>
  <c r="O124" i="8"/>
  <c r="L124" i="8"/>
  <c r="Q124" i="8"/>
  <c r="R124" i="8"/>
  <c r="S124" i="8"/>
  <c r="U124" i="8" s="1"/>
  <c r="C125" i="8" s="1"/>
  <c r="M124" i="8"/>
  <c r="L134" i="22" l="1"/>
  <c r="V134" i="22" s="1"/>
  <c r="P134" i="22"/>
  <c r="T134" i="22" s="1"/>
  <c r="O134" i="22"/>
  <c r="N134" i="22"/>
  <c r="R134" i="22"/>
  <c r="M134" i="22"/>
  <c r="S134" i="22"/>
  <c r="U134" i="22" s="1"/>
  <c r="C135" i="22" s="1"/>
  <c r="Q134" i="22"/>
  <c r="N133" i="17"/>
  <c r="L133" i="17"/>
  <c r="V133" i="17" s="1"/>
  <c r="P133" i="17"/>
  <c r="T133" i="17" s="1"/>
  <c r="O133" i="17"/>
  <c r="Q133" i="17"/>
  <c r="M133" i="17"/>
  <c r="S133" i="17"/>
  <c r="U133" i="17" s="1"/>
  <c r="C134" i="17" s="1"/>
  <c r="R133" i="17"/>
  <c r="W132" i="15"/>
  <c r="X132" i="15" s="1"/>
  <c r="B133" i="15"/>
  <c r="D133" i="15" s="1"/>
  <c r="E133" i="15" s="1"/>
  <c r="F133" i="15" s="1"/>
  <c r="G133" i="15" s="1"/>
  <c r="H133" i="15" s="1"/>
  <c r="V124" i="8"/>
  <c r="P124" i="8"/>
  <c r="T124" i="8" s="1"/>
  <c r="B135" i="22" l="1"/>
  <c r="D135" i="22" s="1"/>
  <c r="E135" i="22" s="1"/>
  <c r="F135" i="22" s="1"/>
  <c r="G135" i="22" s="1"/>
  <c r="H135" i="22" s="1"/>
  <c r="W134" i="22"/>
  <c r="X134" i="22" s="1"/>
  <c r="B134" i="17"/>
  <c r="D134" i="17" s="1"/>
  <c r="E134" i="17" s="1"/>
  <c r="F134" i="17" s="1"/>
  <c r="G134" i="17" s="1"/>
  <c r="H134" i="17" s="1"/>
  <c r="W133" i="17"/>
  <c r="X133" i="17" s="1"/>
  <c r="K133" i="15"/>
  <c r="I133" i="15"/>
  <c r="J133" i="15" s="1"/>
  <c r="W124" i="8"/>
  <c r="X124" i="8" s="1"/>
  <c r="B125" i="8"/>
  <c r="D125" i="8" s="1"/>
  <c r="E125" i="8" s="1"/>
  <c r="F125" i="8" s="1"/>
  <c r="G125" i="8" s="1"/>
  <c r="H125" i="8" s="1"/>
  <c r="K135" i="22" l="1"/>
  <c r="I135" i="22"/>
  <c r="J135" i="22" s="1"/>
  <c r="K134" i="17"/>
  <c r="I134" i="17"/>
  <c r="J134" i="17" s="1"/>
  <c r="P133" i="15"/>
  <c r="T133" i="15" s="1"/>
  <c r="O133" i="15"/>
  <c r="N133" i="15"/>
  <c r="L133" i="15"/>
  <c r="V133" i="15" s="1"/>
  <c r="Q133" i="15"/>
  <c r="S133" i="15"/>
  <c r="U133" i="15" s="1"/>
  <c r="C134" i="15" s="1"/>
  <c r="R133" i="15"/>
  <c r="M133" i="15"/>
  <c r="K125" i="8"/>
  <c r="I125" i="8"/>
  <c r="J125" i="8" s="1"/>
  <c r="O135" i="22" l="1"/>
  <c r="L135" i="22"/>
  <c r="V135" i="22" s="1"/>
  <c r="N135" i="22"/>
  <c r="P135" i="22"/>
  <c r="T135" i="22" s="1"/>
  <c r="S135" i="22"/>
  <c r="U135" i="22" s="1"/>
  <c r="C136" i="22" s="1"/>
  <c r="R135" i="22"/>
  <c r="Q135" i="22"/>
  <c r="M135" i="22"/>
  <c r="P134" i="17"/>
  <c r="T134" i="17" s="1"/>
  <c r="L134" i="17"/>
  <c r="V134" i="17" s="1"/>
  <c r="O134" i="17"/>
  <c r="N134" i="17"/>
  <c r="S134" i="17"/>
  <c r="U134" i="17" s="1"/>
  <c r="C135" i="17" s="1"/>
  <c r="R134" i="17"/>
  <c r="Q134" i="17"/>
  <c r="M134" i="17"/>
  <c r="W133" i="15"/>
  <c r="X133" i="15" s="1"/>
  <c r="B134" i="15"/>
  <c r="D134" i="15" s="1"/>
  <c r="E134" i="15" s="1"/>
  <c r="F134" i="15" s="1"/>
  <c r="G134" i="15" s="1"/>
  <c r="H134" i="15" s="1"/>
  <c r="L125" i="8"/>
  <c r="P125" i="8" s="1"/>
  <c r="T125" i="8" s="1"/>
  <c r="N125" i="8"/>
  <c r="O125" i="8"/>
  <c r="R125" i="8"/>
  <c r="S125" i="8"/>
  <c r="U125" i="8" s="1"/>
  <c r="C126" i="8" s="1"/>
  <c r="Q125" i="8"/>
  <c r="M125" i="8"/>
  <c r="B136" i="22" l="1"/>
  <c r="D136" i="22" s="1"/>
  <c r="E136" i="22" s="1"/>
  <c r="F136" i="22" s="1"/>
  <c r="G136" i="22" s="1"/>
  <c r="H136" i="22" s="1"/>
  <c r="W135" i="22"/>
  <c r="X135" i="22" s="1"/>
  <c r="B135" i="17"/>
  <c r="D135" i="17" s="1"/>
  <c r="E135" i="17" s="1"/>
  <c r="F135" i="17" s="1"/>
  <c r="G135" i="17" s="1"/>
  <c r="H135" i="17" s="1"/>
  <c r="W134" i="17"/>
  <c r="X134" i="17" s="1"/>
  <c r="I134" i="15"/>
  <c r="J134" i="15" s="1"/>
  <c r="K134" i="15"/>
  <c r="B126" i="8"/>
  <c r="D126" i="8" s="1"/>
  <c r="E126" i="8" s="1"/>
  <c r="F126" i="8" s="1"/>
  <c r="G126" i="8" s="1"/>
  <c r="H126" i="8" s="1"/>
  <c r="W125" i="8"/>
  <c r="V125" i="8"/>
  <c r="K136" i="22" l="1"/>
  <c r="I136" i="22"/>
  <c r="J136" i="22" s="1"/>
  <c r="K135" i="17"/>
  <c r="I135" i="17"/>
  <c r="J135" i="17" s="1"/>
  <c r="S134" i="15"/>
  <c r="U134" i="15" s="1"/>
  <c r="C135" i="15" s="1"/>
  <c r="R134" i="15"/>
  <c r="Q134" i="15"/>
  <c r="M134" i="15"/>
  <c r="P134" i="15"/>
  <c r="T134" i="15" s="1"/>
  <c r="O134" i="15"/>
  <c r="N134" i="15"/>
  <c r="L134" i="15"/>
  <c r="V134" i="15" s="1"/>
  <c r="X125" i="8"/>
  <c r="I126" i="8"/>
  <c r="J126" i="8" s="1"/>
  <c r="K126" i="8"/>
  <c r="M136" i="22" l="1"/>
  <c r="Q136" i="22"/>
  <c r="S136" i="22"/>
  <c r="U136" i="22" s="1"/>
  <c r="C137" i="22" s="1"/>
  <c r="R136" i="22"/>
  <c r="L136" i="22"/>
  <c r="V136" i="22" s="1"/>
  <c r="P136" i="22"/>
  <c r="T136" i="22" s="1"/>
  <c r="O136" i="22"/>
  <c r="N136" i="22"/>
  <c r="P135" i="17"/>
  <c r="T135" i="17" s="1"/>
  <c r="O135" i="17"/>
  <c r="N135" i="17"/>
  <c r="L135" i="17"/>
  <c r="V135" i="17" s="1"/>
  <c r="S135" i="17"/>
  <c r="U135" i="17" s="1"/>
  <c r="C136" i="17" s="1"/>
  <c r="R135" i="17"/>
  <c r="Q135" i="17"/>
  <c r="M135" i="17"/>
  <c r="B135" i="15"/>
  <c r="D135" i="15" s="1"/>
  <c r="E135" i="15" s="1"/>
  <c r="F135" i="15" s="1"/>
  <c r="G135" i="15" s="1"/>
  <c r="H135" i="15" s="1"/>
  <c r="W134" i="15"/>
  <c r="X134" i="15" s="1"/>
  <c r="Q126" i="8"/>
  <c r="S126" i="8"/>
  <c r="U126" i="8" s="1"/>
  <c r="C127" i="8" s="1"/>
  <c r="R126" i="8"/>
  <c r="M126" i="8"/>
  <c r="L126" i="8"/>
  <c r="V126" i="8" s="1"/>
  <c r="O126" i="8"/>
  <c r="N126" i="8"/>
  <c r="B137" i="22" l="1"/>
  <c r="D137" i="22" s="1"/>
  <c r="E137" i="22" s="1"/>
  <c r="F137" i="22" s="1"/>
  <c r="G137" i="22" s="1"/>
  <c r="H137" i="22" s="1"/>
  <c r="W136" i="22"/>
  <c r="X136" i="22" s="1"/>
  <c r="B136" i="17"/>
  <c r="D136" i="17" s="1"/>
  <c r="E136" i="17" s="1"/>
  <c r="F136" i="17" s="1"/>
  <c r="G136" i="17" s="1"/>
  <c r="H136" i="17" s="1"/>
  <c r="W135" i="17"/>
  <c r="X135" i="17" s="1"/>
  <c r="K135" i="15"/>
  <c r="I135" i="15"/>
  <c r="J135" i="15" s="1"/>
  <c r="P126" i="8"/>
  <c r="T126" i="8" s="1"/>
  <c r="B127" i="8" s="1"/>
  <c r="D127" i="8" s="1"/>
  <c r="E127" i="8" s="1"/>
  <c r="F127" i="8" s="1"/>
  <c r="G127" i="8" s="1"/>
  <c r="H127" i="8" s="1"/>
  <c r="K137" i="22" l="1"/>
  <c r="I137" i="22"/>
  <c r="J137" i="22" s="1"/>
  <c r="K136" i="17"/>
  <c r="I136" i="17"/>
  <c r="J136" i="17" s="1"/>
  <c r="P135" i="15"/>
  <c r="T135" i="15" s="1"/>
  <c r="O135" i="15"/>
  <c r="N135" i="15"/>
  <c r="L135" i="15"/>
  <c r="V135" i="15" s="1"/>
  <c r="S135" i="15"/>
  <c r="U135" i="15" s="1"/>
  <c r="C136" i="15" s="1"/>
  <c r="R135" i="15"/>
  <c r="Q135" i="15"/>
  <c r="M135" i="15"/>
  <c r="W126" i="8"/>
  <c r="X126" i="8" s="1"/>
  <c r="K127" i="8"/>
  <c r="I127" i="8"/>
  <c r="J127" i="8" s="1"/>
  <c r="P137" i="22" l="1"/>
  <c r="T137" i="22" s="1"/>
  <c r="O137" i="22"/>
  <c r="N137" i="22"/>
  <c r="L137" i="22"/>
  <c r="V137" i="22" s="1"/>
  <c r="S137" i="22"/>
  <c r="U137" i="22" s="1"/>
  <c r="C138" i="22" s="1"/>
  <c r="Q137" i="22"/>
  <c r="M137" i="22"/>
  <c r="R137" i="22"/>
  <c r="L136" i="17"/>
  <c r="V136" i="17" s="1"/>
  <c r="N136" i="17"/>
  <c r="P136" i="17"/>
  <c r="T136" i="17" s="1"/>
  <c r="O136" i="17"/>
  <c r="M136" i="17"/>
  <c r="R136" i="17"/>
  <c r="Q136" i="17"/>
  <c r="S136" i="17"/>
  <c r="U136" i="17" s="1"/>
  <c r="C137" i="17" s="1"/>
  <c r="W135" i="15"/>
  <c r="X135" i="15" s="1"/>
  <c r="B136" i="15"/>
  <c r="D136" i="15" s="1"/>
  <c r="E136" i="15" s="1"/>
  <c r="F136" i="15" s="1"/>
  <c r="G136" i="15" s="1"/>
  <c r="H136" i="15" s="1"/>
  <c r="L127" i="8"/>
  <c r="N127" i="8"/>
  <c r="O127" i="8"/>
  <c r="M127" i="8"/>
  <c r="S127" i="8"/>
  <c r="U127" i="8" s="1"/>
  <c r="C128" i="8" s="1"/>
  <c r="R127" i="8"/>
  <c r="Q127" i="8"/>
  <c r="W137" i="22" l="1"/>
  <c r="X137" i="22" s="1"/>
  <c r="B138" i="22"/>
  <c r="D138" i="22" s="1"/>
  <c r="E138" i="22" s="1"/>
  <c r="F138" i="22" s="1"/>
  <c r="G138" i="22" s="1"/>
  <c r="H138" i="22" s="1"/>
  <c r="B137" i="17"/>
  <c r="D137" i="17" s="1"/>
  <c r="E137" i="17" s="1"/>
  <c r="F137" i="17" s="1"/>
  <c r="G137" i="17" s="1"/>
  <c r="H137" i="17" s="1"/>
  <c r="W136" i="17"/>
  <c r="X136" i="17" s="1"/>
  <c r="K136" i="15"/>
  <c r="I136" i="15"/>
  <c r="J136" i="15" s="1"/>
  <c r="V127" i="8"/>
  <c r="P127" i="8"/>
  <c r="T127" i="8" s="1"/>
  <c r="K138" i="22" l="1"/>
  <c r="I138" i="22"/>
  <c r="J138" i="22" s="1"/>
  <c r="K137" i="17"/>
  <c r="I137" i="17"/>
  <c r="J137" i="17" s="1"/>
  <c r="L136" i="15"/>
  <c r="V136" i="15" s="1"/>
  <c r="O136" i="15"/>
  <c r="N136" i="15"/>
  <c r="P136" i="15"/>
  <c r="T136" i="15" s="1"/>
  <c r="M136" i="15"/>
  <c r="S136" i="15"/>
  <c r="U136" i="15" s="1"/>
  <c r="C137" i="15" s="1"/>
  <c r="R136" i="15"/>
  <c r="Q136" i="15"/>
  <c r="B128" i="8"/>
  <c r="D128" i="8" s="1"/>
  <c r="E128" i="8" s="1"/>
  <c r="F128" i="8" s="1"/>
  <c r="G128" i="8" s="1"/>
  <c r="H128" i="8" s="1"/>
  <c r="W127" i="8"/>
  <c r="X127" i="8" s="1"/>
  <c r="N138" i="22" l="1"/>
  <c r="P138" i="22"/>
  <c r="T138" i="22" s="1"/>
  <c r="O138" i="22"/>
  <c r="L138" i="22"/>
  <c r="V138" i="22" s="1"/>
  <c r="Q138" i="22"/>
  <c r="M138" i="22"/>
  <c r="S138" i="22"/>
  <c r="U138" i="22" s="1"/>
  <c r="C139" i="22" s="1"/>
  <c r="R138" i="22"/>
  <c r="O137" i="17"/>
  <c r="L137" i="17"/>
  <c r="V137" i="17" s="1"/>
  <c r="N137" i="17"/>
  <c r="P137" i="17"/>
  <c r="T137" i="17" s="1"/>
  <c r="M137" i="17"/>
  <c r="S137" i="17"/>
  <c r="U137" i="17" s="1"/>
  <c r="C138" i="17" s="1"/>
  <c r="R137" i="17"/>
  <c r="Q137" i="17"/>
  <c r="B137" i="15"/>
  <c r="D137" i="15" s="1"/>
  <c r="E137" i="15" s="1"/>
  <c r="F137" i="15" s="1"/>
  <c r="G137" i="15" s="1"/>
  <c r="H137" i="15" s="1"/>
  <c r="W136" i="15"/>
  <c r="X136" i="15" s="1"/>
  <c r="I128" i="8"/>
  <c r="J128" i="8" s="1"/>
  <c r="K128" i="8"/>
  <c r="B139" i="22" l="1"/>
  <c r="D139" i="22" s="1"/>
  <c r="E139" i="22" s="1"/>
  <c r="F139" i="22" s="1"/>
  <c r="G139" i="22" s="1"/>
  <c r="H139" i="22" s="1"/>
  <c r="W138" i="22"/>
  <c r="X138" i="22" s="1"/>
  <c r="B138" i="17"/>
  <c r="D138" i="17" s="1"/>
  <c r="E138" i="17" s="1"/>
  <c r="F138" i="17" s="1"/>
  <c r="G138" i="17" s="1"/>
  <c r="H138" i="17" s="1"/>
  <c r="W137" i="17"/>
  <c r="X137" i="17" s="1"/>
  <c r="K137" i="15"/>
  <c r="I137" i="15"/>
  <c r="J137" i="15" s="1"/>
  <c r="Q128" i="8"/>
  <c r="S128" i="8"/>
  <c r="U128" i="8" s="1"/>
  <c r="C129" i="8" s="1"/>
  <c r="R128" i="8"/>
  <c r="M128" i="8"/>
  <c r="N128" i="8"/>
  <c r="L128" i="8"/>
  <c r="V128" i="8" s="1"/>
  <c r="O128" i="8"/>
  <c r="K139" i="22" l="1"/>
  <c r="I139" i="22"/>
  <c r="J139" i="22" s="1"/>
  <c r="I138" i="17"/>
  <c r="J138" i="17" s="1"/>
  <c r="K138" i="17"/>
  <c r="P137" i="15"/>
  <c r="T137" i="15" s="1"/>
  <c r="N137" i="15"/>
  <c r="L137" i="15"/>
  <c r="V137" i="15" s="1"/>
  <c r="O137" i="15"/>
  <c r="S137" i="15"/>
  <c r="U137" i="15" s="1"/>
  <c r="C138" i="15" s="1"/>
  <c r="R137" i="15"/>
  <c r="Q137" i="15"/>
  <c r="M137" i="15"/>
  <c r="P128" i="8"/>
  <c r="T128" i="8" s="1"/>
  <c r="L139" i="22" l="1"/>
  <c r="V139" i="22" s="1"/>
  <c r="P139" i="22"/>
  <c r="T139" i="22" s="1"/>
  <c r="O139" i="22"/>
  <c r="N139" i="22"/>
  <c r="R139" i="22"/>
  <c r="S139" i="22"/>
  <c r="U139" i="22" s="1"/>
  <c r="C140" i="22" s="1"/>
  <c r="Q139" i="22"/>
  <c r="M139" i="22"/>
  <c r="S138" i="17"/>
  <c r="U138" i="17" s="1"/>
  <c r="C139" i="17" s="1"/>
  <c r="R138" i="17"/>
  <c r="Q138" i="17"/>
  <c r="M138" i="17"/>
  <c r="N138" i="17"/>
  <c r="P138" i="17"/>
  <c r="T138" i="17" s="1"/>
  <c r="O138" i="17"/>
  <c r="L138" i="17"/>
  <c r="V138" i="17" s="1"/>
  <c r="W137" i="15"/>
  <c r="X137" i="15" s="1"/>
  <c r="B138" i="15"/>
  <c r="D138" i="15" s="1"/>
  <c r="E138" i="15" s="1"/>
  <c r="F138" i="15" s="1"/>
  <c r="G138" i="15" s="1"/>
  <c r="H138" i="15" s="1"/>
  <c r="W128" i="8"/>
  <c r="X128" i="8" s="1"/>
  <c r="B129" i="8"/>
  <c r="D129" i="8" s="1"/>
  <c r="E129" i="8" s="1"/>
  <c r="F129" i="8" s="1"/>
  <c r="G129" i="8" s="1"/>
  <c r="H129" i="8" s="1"/>
  <c r="W139" i="22" l="1"/>
  <c r="X139" i="22" s="1"/>
  <c r="B140" i="22"/>
  <c r="D140" i="22" s="1"/>
  <c r="E140" i="22" s="1"/>
  <c r="F140" i="22" s="1"/>
  <c r="G140" i="22" s="1"/>
  <c r="H140" i="22" s="1"/>
  <c r="B139" i="17"/>
  <c r="D139" i="17" s="1"/>
  <c r="E139" i="17" s="1"/>
  <c r="F139" i="17" s="1"/>
  <c r="G139" i="17" s="1"/>
  <c r="H139" i="17" s="1"/>
  <c r="W138" i="17"/>
  <c r="X138" i="17" s="1"/>
  <c r="K138" i="15"/>
  <c r="I138" i="15"/>
  <c r="J138" i="15" s="1"/>
  <c r="K129" i="8"/>
  <c r="I129" i="8"/>
  <c r="J129" i="8" s="1"/>
  <c r="I140" i="22" l="1"/>
  <c r="J140" i="22" s="1"/>
  <c r="K140" i="22"/>
  <c r="K139" i="17"/>
  <c r="I139" i="17"/>
  <c r="J139" i="17" s="1"/>
  <c r="N138" i="15"/>
  <c r="L138" i="15"/>
  <c r="V138" i="15" s="1"/>
  <c r="P138" i="15"/>
  <c r="T138" i="15" s="1"/>
  <c r="O138" i="15"/>
  <c r="M138" i="15"/>
  <c r="S138" i="15"/>
  <c r="U138" i="15" s="1"/>
  <c r="C139" i="15" s="1"/>
  <c r="R138" i="15"/>
  <c r="Q138" i="15"/>
  <c r="O129" i="8"/>
  <c r="N129" i="8"/>
  <c r="L129" i="8"/>
  <c r="R129" i="8"/>
  <c r="M129" i="8"/>
  <c r="S129" i="8"/>
  <c r="U129" i="8" s="1"/>
  <c r="C130" i="8" s="1"/>
  <c r="Q129" i="8"/>
  <c r="S140" i="22" l="1"/>
  <c r="U140" i="22" s="1"/>
  <c r="C141" i="22" s="1"/>
  <c r="R140" i="22"/>
  <c r="Q140" i="22"/>
  <c r="M140" i="22"/>
  <c r="P140" i="22"/>
  <c r="T140" i="22" s="1"/>
  <c r="L140" i="22"/>
  <c r="V140" i="22" s="1"/>
  <c r="N140" i="22"/>
  <c r="O140" i="22"/>
  <c r="N139" i="17"/>
  <c r="L139" i="17"/>
  <c r="V139" i="17" s="1"/>
  <c r="P139" i="17"/>
  <c r="T139" i="17" s="1"/>
  <c r="O139" i="17"/>
  <c r="M139" i="17"/>
  <c r="S139" i="17"/>
  <c r="U139" i="17" s="1"/>
  <c r="C140" i="17" s="1"/>
  <c r="R139" i="17"/>
  <c r="Q139" i="17"/>
  <c r="B139" i="15"/>
  <c r="D139" i="15" s="1"/>
  <c r="E139" i="15" s="1"/>
  <c r="F139" i="15" s="1"/>
  <c r="G139" i="15" s="1"/>
  <c r="H139" i="15" s="1"/>
  <c r="W138" i="15"/>
  <c r="X138" i="15" s="1"/>
  <c r="V129" i="8"/>
  <c r="P129" i="8"/>
  <c r="T129" i="8" s="1"/>
  <c r="B141" i="22" l="1"/>
  <c r="D141" i="22" s="1"/>
  <c r="E141" i="22" s="1"/>
  <c r="F141" i="22" s="1"/>
  <c r="G141" i="22" s="1"/>
  <c r="H141" i="22" s="1"/>
  <c r="W140" i="22"/>
  <c r="X140" i="22" s="1"/>
  <c r="W139" i="17"/>
  <c r="X139" i="17" s="1"/>
  <c r="B140" i="17"/>
  <c r="D140" i="17" s="1"/>
  <c r="E140" i="17" s="1"/>
  <c r="F140" i="17" s="1"/>
  <c r="G140" i="17" s="1"/>
  <c r="H140" i="17" s="1"/>
  <c r="K139" i="15"/>
  <c r="I139" i="15"/>
  <c r="J139" i="15" s="1"/>
  <c r="W129" i="8"/>
  <c r="X129" i="8" s="1"/>
  <c r="B130" i="8"/>
  <c r="D130" i="8" s="1"/>
  <c r="E130" i="8" s="1"/>
  <c r="F130" i="8" s="1"/>
  <c r="G130" i="8" s="1"/>
  <c r="H130" i="8" s="1"/>
  <c r="I141" i="22" l="1"/>
  <c r="J141" i="22" s="1"/>
  <c r="K141" i="22"/>
  <c r="I140" i="17"/>
  <c r="J140" i="17" s="1"/>
  <c r="K140" i="17"/>
  <c r="O139" i="15"/>
  <c r="P139" i="15"/>
  <c r="T139" i="15" s="1"/>
  <c r="N139" i="15"/>
  <c r="L139" i="15"/>
  <c r="V139" i="15" s="1"/>
  <c r="S139" i="15"/>
  <c r="U139" i="15" s="1"/>
  <c r="C140" i="15" s="1"/>
  <c r="R139" i="15"/>
  <c r="Q139" i="15"/>
  <c r="M139" i="15"/>
  <c r="K130" i="8"/>
  <c r="I130" i="8"/>
  <c r="J130" i="8" s="1"/>
  <c r="M141" i="22" l="1"/>
  <c r="S141" i="22"/>
  <c r="U141" i="22" s="1"/>
  <c r="C142" i="22" s="1"/>
  <c r="R141" i="22"/>
  <c r="Q141" i="22"/>
  <c r="P141" i="22"/>
  <c r="T141" i="22" s="1"/>
  <c r="O141" i="22"/>
  <c r="N141" i="22"/>
  <c r="L141" i="22"/>
  <c r="V141" i="22" s="1"/>
  <c r="S140" i="17"/>
  <c r="U140" i="17" s="1"/>
  <c r="C141" i="17" s="1"/>
  <c r="R140" i="17"/>
  <c r="Q140" i="17"/>
  <c r="M140" i="17"/>
  <c r="P140" i="17"/>
  <c r="T140" i="17" s="1"/>
  <c r="O140" i="17"/>
  <c r="N140" i="17"/>
  <c r="L140" i="17"/>
  <c r="V140" i="17" s="1"/>
  <c r="W139" i="15"/>
  <c r="X139" i="15" s="1"/>
  <c r="B140" i="15"/>
  <c r="D140" i="15" s="1"/>
  <c r="E140" i="15" s="1"/>
  <c r="F140" i="15" s="1"/>
  <c r="G140" i="15" s="1"/>
  <c r="H140" i="15" s="1"/>
  <c r="L130" i="8"/>
  <c r="N130" i="8"/>
  <c r="O130" i="8"/>
  <c r="S130" i="8"/>
  <c r="U130" i="8" s="1"/>
  <c r="C131" i="8" s="1"/>
  <c r="M130" i="8"/>
  <c r="R130" i="8"/>
  <c r="Q130" i="8"/>
  <c r="B142" i="22" l="1"/>
  <c r="D142" i="22" s="1"/>
  <c r="E142" i="22" s="1"/>
  <c r="F142" i="22" s="1"/>
  <c r="G142" i="22" s="1"/>
  <c r="H142" i="22" s="1"/>
  <c r="W141" i="22"/>
  <c r="X141" i="22" s="1"/>
  <c r="B141" i="17"/>
  <c r="D141" i="17" s="1"/>
  <c r="E141" i="17" s="1"/>
  <c r="F141" i="17" s="1"/>
  <c r="G141" i="17" s="1"/>
  <c r="H141" i="17" s="1"/>
  <c r="W140" i="17"/>
  <c r="X140" i="17" s="1"/>
  <c r="K140" i="15"/>
  <c r="I140" i="15"/>
  <c r="J140" i="15" s="1"/>
  <c r="V130" i="8"/>
  <c r="P130" i="8"/>
  <c r="T130" i="8" s="1"/>
  <c r="I142" i="22" l="1"/>
  <c r="J142" i="22" s="1"/>
  <c r="K142" i="22"/>
  <c r="I141" i="17"/>
  <c r="J141" i="17" s="1"/>
  <c r="K141" i="17"/>
  <c r="P140" i="15"/>
  <c r="T140" i="15" s="1"/>
  <c r="O140" i="15"/>
  <c r="N140" i="15"/>
  <c r="L140" i="15"/>
  <c r="V140" i="15" s="1"/>
  <c r="S140" i="15"/>
  <c r="U140" i="15" s="1"/>
  <c r="C141" i="15" s="1"/>
  <c r="R140" i="15"/>
  <c r="Q140" i="15"/>
  <c r="M140" i="15"/>
  <c r="B131" i="8"/>
  <c r="D131" i="8" s="1"/>
  <c r="E131" i="8" s="1"/>
  <c r="F131" i="8" s="1"/>
  <c r="G131" i="8" s="1"/>
  <c r="H131" i="8" s="1"/>
  <c r="W130" i="8"/>
  <c r="X130" i="8" s="1"/>
  <c r="S142" i="22" l="1"/>
  <c r="U142" i="22" s="1"/>
  <c r="C143" i="22" s="1"/>
  <c r="R142" i="22"/>
  <c r="Q142" i="22"/>
  <c r="M142" i="22"/>
  <c r="P142" i="22"/>
  <c r="T142" i="22" s="1"/>
  <c r="O142" i="22"/>
  <c r="N142" i="22"/>
  <c r="L142" i="22"/>
  <c r="V142" i="22" s="1"/>
  <c r="M141" i="17"/>
  <c r="S141" i="17"/>
  <c r="U141" i="17" s="1"/>
  <c r="C142" i="17" s="1"/>
  <c r="R141" i="17"/>
  <c r="Q141" i="17"/>
  <c r="P141" i="17"/>
  <c r="T141" i="17" s="1"/>
  <c r="L141" i="17"/>
  <c r="V141" i="17" s="1"/>
  <c r="O141" i="17"/>
  <c r="N141" i="17"/>
  <c r="B141" i="15"/>
  <c r="D141" i="15" s="1"/>
  <c r="E141" i="15" s="1"/>
  <c r="F141" i="15" s="1"/>
  <c r="G141" i="15" s="1"/>
  <c r="H141" i="15" s="1"/>
  <c r="W140" i="15"/>
  <c r="X140" i="15" s="1"/>
  <c r="K131" i="8"/>
  <c r="I131" i="8"/>
  <c r="J131" i="8" s="1"/>
  <c r="B143" i="22" l="1"/>
  <c r="D143" i="22" s="1"/>
  <c r="E143" i="22" s="1"/>
  <c r="F143" i="22" s="1"/>
  <c r="G143" i="22" s="1"/>
  <c r="H143" i="22" s="1"/>
  <c r="W142" i="22"/>
  <c r="X142" i="22" s="1"/>
  <c r="B142" i="17"/>
  <c r="D142" i="17" s="1"/>
  <c r="E142" i="17" s="1"/>
  <c r="F142" i="17" s="1"/>
  <c r="G142" i="17" s="1"/>
  <c r="H142" i="17" s="1"/>
  <c r="W141" i="17"/>
  <c r="X141" i="17" s="1"/>
  <c r="I141" i="15"/>
  <c r="J141" i="15" s="1"/>
  <c r="K141" i="15"/>
  <c r="O131" i="8"/>
  <c r="L131" i="8"/>
  <c r="N131" i="8"/>
  <c r="S131" i="8"/>
  <c r="U131" i="8" s="1"/>
  <c r="C132" i="8" s="1"/>
  <c r="M131" i="8"/>
  <c r="R131" i="8"/>
  <c r="Q131" i="8"/>
  <c r="I143" i="22" l="1"/>
  <c r="J143" i="22" s="1"/>
  <c r="K143" i="22"/>
  <c r="K142" i="17"/>
  <c r="I142" i="17"/>
  <c r="J142" i="17" s="1"/>
  <c r="Q141" i="15"/>
  <c r="M141" i="15"/>
  <c r="S141" i="15"/>
  <c r="U141" i="15" s="1"/>
  <c r="C142" i="15" s="1"/>
  <c r="R141" i="15"/>
  <c r="P141" i="15"/>
  <c r="T141" i="15" s="1"/>
  <c r="O141" i="15"/>
  <c r="N141" i="15"/>
  <c r="L141" i="15"/>
  <c r="V141" i="15" s="1"/>
  <c r="V131" i="8"/>
  <c r="P131" i="8"/>
  <c r="T131" i="8" s="1"/>
  <c r="M143" i="22" l="1"/>
  <c r="S143" i="22"/>
  <c r="U143" i="22" s="1"/>
  <c r="C144" i="22" s="1"/>
  <c r="R143" i="22"/>
  <c r="Q143" i="22"/>
  <c r="L143" i="22"/>
  <c r="V143" i="22" s="1"/>
  <c r="O143" i="22"/>
  <c r="P143" i="22"/>
  <c r="T143" i="22" s="1"/>
  <c r="N143" i="22"/>
  <c r="P142" i="17"/>
  <c r="T142" i="17" s="1"/>
  <c r="L142" i="17"/>
  <c r="V142" i="17" s="1"/>
  <c r="O142" i="17"/>
  <c r="N142" i="17"/>
  <c r="R142" i="17"/>
  <c r="Q142" i="17"/>
  <c r="S142" i="17"/>
  <c r="U142" i="17" s="1"/>
  <c r="C143" i="17" s="1"/>
  <c r="M142" i="17"/>
  <c r="B142" i="15"/>
  <c r="D142" i="15" s="1"/>
  <c r="E142" i="15" s="1"/>
  <c r="F142" i="15" s="1"/>
  <c r="G142" i="15" s="1"/>
  <c r="H142" i="15" s="1"/>
  <c r="W141" i="15"/>
  <c r="X141" i="15" s="1"/>
  <c r="B132" i="8"/>
  <c r="D132" i="8" s="1"/>
  <c r="E132" i="8" s="1"/>
  <c r="F132" i="8" s="1"/>
  <c r="G132" i="8" s="1"/>
  <c r="H132" i="8" s="1"/>
  <c r="W131" i="8"/>
  <c r="X131" i="8" s="1"/>
  <c r="B144" i="22" l="1"/>
  <c r="D144" i="22" s="1"/>
  <c r="E144" i="22" s="1"/>
  <c r="F144" i="22" s="1"/>
  <c r="G144" i="22" s="1"/>
  <c r="H144" i="22" s="1"/>
  <c r="W143" i="22"/>
  <c r="X143" i="22" s="1"/>
  <c r="W142" i="17"/>
  <c r="X142" i="17" s="1"/>
  <c r="B143" i="17"/>
  <c r="D143" i="17" s="1"/>
  <c r="E143" i="17" s="1"/>
  <c r="F143" i="17" s="1"/>
  <c r="G143" i="17" s="1"/>
  <c r="H143" i="17" s="1"/>
  <c r="K142" i="15"/>
  <c r="I142" i="15"/>
  <c r="J142" i="15" s="1"/>
  <c r="I132" i="8"/>
  <c r="J132" i="8" s="1"/>
  <c r="K132" i="8"/>
  <c r="K144" i="22" l="1"/>
  <c r="I144" i="22"/>
  <c r="J144" i="22" s="1"/>
  <c r="K143" i="17"/>
  <c r="I143" i="17"/>
  <c r="J143" i="17" s="1"/>
  <c r="P142" i="15"/>
  <c r="T142" i="15" s="1"/>
  <c r="L142" i="15"/>
  <c r="V142" i="15" s="1"/>
  <c r="O142" i="15"/>
  <c r="N142" i="15"/>
  <c r="R142" i="15"/>
  <c r="Q142" i="15"/>
  <c r="M142" i="15"/>
  <c r="S142" i="15"/>
  <c r="U142" i="15" s="1"/>
  <c r="C143" i="15" s="1"/>
  <c r="S132" i="8"/>
  <c r="U132" i="8" s="1"/>
  <c r="C133" i="8" s="1"/>
  <c r="R132" i="8"/>
  <c r="Q132" i="8"/>
  <c r="M132" i="8"/>
  <c r="O132" i="8"/>
  <c r="N132" i="8"/>
  <c r="L132" i="8"/>
  <c r="V132" i="8" s="1"/>
  <c r="O144" i="22" l="1"/>
  <c r="P144" i="22"/>
  <c r="T144" i="22" s="1"/>
  <c r="N144" i="22"/>
  <c r="L144" i="22"/>
  <c r="V144" i="22" s="1"/>
  <c r="S144" i="22"/>
  <c r="U144" i="22" s="1"/>
  <c r="C145" i="22" s="1"/>
  <c r="R144" i="22"/>
  <c r="Q144" i="22"/>
  <c r="M144" i="22"/>
  <c r="P143" i="17"/>
  <c r="T143" i="17" s="1"/>
  <c r="O143" i="17"/>
  <c r="L143" i="17"/>
  <c r="V143" i="17" s="1"/>
  <c r="N143" i="17"/>
  <c r="S143" i="17"/>
  <c r="U143" i="17" s="1"/>
  <c r="C144" i="17" s="1"/>
  <c r="R143" i="17"/>
  <c r="Q143" i="17"/>
  <c r="M143" i="17"/>
  <c r="B143" i="15"/>
  <c r="D143" i="15" s="1"/>
  <c r="E143" i="15" s="1"/>
  <c r="F143" i="15" s="1"/>
  <c r="G143" i="15" s="1"/>
  <c r="H143" i="15" s="1"/>
  <c r="W142" i="15"/>
  <c r="X142" i="15" s="1"/>
  <c r="P132" i="8"/>
  <c r="T132" i="8" s="1"/>
  <c r="W144" i="22" l="1"/>
  <c r="X144" i="22" s="1"/>
  <c r="B145" i="22"/>
  <c r="D145" i="22" s="1"/>
  <c r="E145" i="22" s="1"/>
  <c r="F145" i="22" s="1"/>
  <c r="G145" i="22" s="1"/>
  <c r="H145" i="22" s="1"/>
  <c r="B144" i="17"/>
  <c r="D144" i="17" s="1"/>
  <c r="E144" i="17" s="1"/>
  <c r="F144" i="17" s="1"/>
  <c r="G144" i="17" s="1"/>
  <c r="H144" i="17" s="1"/>
  <c r="W143" i="17"/>
  <c r="X143" i="17" s="1"/>
  <c r="K143" i="15"/>
  <c r="I143" i="15"/>
  <c r="J143" i="15" s="1"/>
  <c r="W132" i="8"/>
  <c r="X132" i="8" s="1"/>
  <c r="B133" i="8"/>
  <c r="D133" i="8" s="1"/>
  <c r="E133" i="8" s="1"/>
  <c r="F133" i="8" s="1"/>
  <c r="G133" i="8" s="1"/>
  <c r="H133" i="8" s="1"/>
  <c r="K145" i="22" l="1"/>
  <c r="I145" i="22"/>
  <c r="J145" i="22" s="1"/>
  <c r="K144" i="17"/>
  <c r="I144" i="17"/>
  <c r="J144" i="17" s="1"/>
  <c r="L143" i="15"/>
  <c r="V143" i="15" s="1"/>
  <c r="P143" i="15"/>
  <c r="T143" i="15" s="1"/>
  <c r="O143" i="15"/>
  <c r="N143" i="15"/>
  <c r="M143" i="15"/>
  <c r="S143" i="15"/>
  <c r="U143" i="15" s="1"/>
  <c r="C144" i="15" s="1"/>
  <c r="R143" i="15"/>
  <c r="Q143" i="15"/>
  <c r="K133" i="8"/>
  <c r="I133" i="8"/>
  <c r="J133" i="8" s="1"/>
  <c r="P145" i="22" l="1"/>
  <c r="T145" i="22" s="1"/>
  <c r="O145" i="22"/>
  <c r="N145" i="22"/>
  <c r="L145" i="22"/>
  <c r="V145" i="22" s="1"/>
  <c r="R145" i="22"/>
  <c r="Q145" i="22"/>
  <c r="M145" i="22"/>
  <c r="S145" i="22"/>
  <c r="U145" i="22" s="1"/>
  <c r="C146" i="22" s="1"/>
  <c r="P144" i="17"/>
  <c r="T144" i="17" s="1"/>
  <c r="O144" i="17"/>
  <c r="N144" i="17"/>
  <c r="L144" i="17"/>
  <c r="V144" i="17" s="1"/>
  <c r="S144" i="17"/>
  <c r="U144" i="17" s="1"/>
  <c r="C145" i="17" s="1"/>
  <c r="R144" i="17"/>
  <c r="M144" i="17"/>
  <c r="Q144" i="17"/>
  <c r="B144" i="15"/>
  <c r="D144" i="15" s="1"/>
  <c r="E144" i="15" s="1"/>
  <c r="F144" i="15" s="1"/>
  <c r="G144" i="15" s="1"/>
  <c r="H144" i="15" s="1"/>
  <c r="W143" i="15"/>
  <c r="X143" i="15" s="1"/>
  <c r="O133" i="8"/>
  <c r="L133" i="8"/>
  <c r="N133" i="8"/>
  <c r="S133" i="8"/>
  <c r="U133" i="8" s="1"/>
  <c r="C134" i="8" s="1"/>
  <c r="M133" i="8"/>
  <c r="Q133" i="8"/>
  <c r="R133" i="8"/>
  <c r="B146" i="22" l="1"/>
  <c r="D146" i="22" s="1"/>
  <c r="E146" i="22" s="1"/>
  <c r="F146" i="22" s="1"/>
  <c r="G146" i="22" s="1"/>
  <c r="H146" i="22" s="1"/>
  <c r="W145" i="22"/>
  <c r="X145" i="22" s="1"/>
  <c r="B145" i="17"/>
  <c r="D145" i="17" s="1"/>
  <c r="E145" i="17" s="1"/>
  <c r="F145" i="17" s="1"/>
  <c r="G145" i="17" s="1"/>
  <c r="H145" i="17" s="1"/>
  <c r="W144" i="17"/>
  <c r="X144" i="17" s="1"/>
  <c r="I144" i="15"/>
  <c r="J144" i="15" s="1"/>
  <c r="K144" i="15"/>
  <c r="V133" i="8"/>
  <c r="P133" i="8"/>
  <c r="T133" i="8" s="1"/>
  <c r="K146" i="22" l="1"/>
  <c r="I146" i="22"/>
  <c r="J146" i="22" s="1"/>
  <c r="K145" i="17"/>
  <c r="I145" i="17"/>
  <c r="J145" i="17" s="1"/>
  <c r="S144" i="15"/>
  <c r="U144" i="15" s="1"/>
  <c r="C145" i="15" s="1"/>
  <c r="R144" i="15"/>
  <c r="M144" i="15"/>
  <c r="Q144" i="15"/>
  <c r="L144" i="15"/>
  <c r="V144" i="15" s="1"/>
  <c r="P144" i="15"/>
  <c r="T144" i="15" s="1"/>
  <c r="O144" i="15"/>
  <c r="N144" i="15"/>
  <c r="B134" i="8"/>
  <c r="D134" i="8" s="1"/>
  <c r="E134" i="8" s="1"/>
  <c r="F134" i="8" s="1"/>
  <c r="G134" i="8" s="1"/>
  <c r="H134" i="8" s="1"/>
  <c r="W133" i="8"/>
  <c r="X133" i="8" s="1"/>
  <c r="L146" i="22" l="1"/>
  <c r="V146" i="22" s="1"/>
  <c r="P146" i="22"/>
  <c r="T146" i="22" s="1"/>
  <c r="O146" i="22"/>
  <c r="N146" i="22"/>
  <c r="Q146" i="22"/>
  <c r="S146" i="22"/>
  <c r="U146" i="22" s="1"/>
  <c r="C147" i="22" s="1"/>
  <c r="R146" i="22"/>
  <c r="M146" i="22"/>
  <c r="L145" i="17"/>
  <c r="V145" i="17" s="1"/>
  <c r="O145" i="17"/>
  <c r="N145" i="17"/>
  <c r="P145" i="17"/>
  <c r="T145" i="17" s="1"/>
  <c r="M145" i="17"/>
  <c r="S145" i="17"/>
  <c r="U145" i="17" s="1"/>
  <c r="C146" i="17" s="1"/>
  <c r="R145" i="17"/>
  <c r="Q145" i="17"/>
  <c r="B145" i="15"/>
  <c r="D145" i="15" s="1"/>
  <c r="E145" i="15" s="1"/>
  <c r="F145" i="15" s="1"/>
  <c r="G145" i="15" s="1"/>
  <c r="H145" i="15" s="1"/>
  <c r="W144" i="15"/>
  <c r="X144" i="15" s="1"/>
  <c r="K134" i="8"/>
  <c r="I134" i="8"/>
  <c r="J134" i="8" s="1"/>
  <c r="B147" i="22" l="1"/>
  <c r="D147" i="22" s="1"/>
  <c r="E147" i="22" s="1"/>
  <c r="F147" i="22" s="1"/>
  <c r="G147" i="22" s="1"/>
  <c r="H147" i="22" s="1"/>
  <c r="W146" i="22"/>
  <c r="X146" i="22" s="1"/>
  <c r="W145" i="17"/>
  <c r="X145" i="17" s="1"/>
  <c r="B146" i="17"/>
  <c r="D146" i="17" s="1"/>
  <c r="E146" i="17" s="1"/>
  <c r="F146" i="17" s="1"/>
  <c r="G146" i="17" s="1"/>
  <c r="H146" i="17" s="1"/>
  <c r="K145" i="15"/>
  <c r="I145" i="15"/>
  <c r="J145" i="15" s="1"/>
  <c r="O134" i="8"/>
  <c r="N134" i="8"/>
  <c r="L134" i="8"/>
  <c r="S134" i="8"/>
  <c r="U134" i="8" s="1"/>
  <c r="C135" i="8" s="1"/>
  <c r="Q134" i="8"/>
  <c r="R134" i="8"/>
  <c r="M134" i="8"/>
  <c r="K147" i="22" l="1"/>
  <c r="I147" i="22"/>
  <c r="J147" i="22" s="1"/>
  <c r="K146" i="17"/>
  <c r="I146" i="17"/>
  <c r="J146" i="17" s="1"/>
  <c r="L145" i="15"/>
  <c r="V145" i="15" s="1"/>
  <c r="P145" i="15"/>
  <c r="T145" i="15" s="1"/>
  <c r="O145" i="15"/>
  <c r="N145" i="15"/>
  <c r="M145" i="15"/>
  <c r="S145" i="15"/>
  <c r="U145" i="15" s="1"/>
  <c r="C146" i="15" s="1"/>
  <c r="R145" i="15"/>
  <c r="Q145" i="15"/>
  <c r="V134" i="8"/>
  <c r="P134" i="8"/>
  <c r="T134" i="8" s="1"/>
  <c r="P147" i="22" l="1"/>
  <c r="T147" i="22" s="1"/>
  <c r="O147" i="22"/>
  <c r="N147" i="22"/>
  <c r="L147" i="22"/>
  <c r="V147" i="22" s="1"/>
  <c r="S147" i="22"/>
  <c r="U147" i="22" s="1"/>
  <c r="C148" i="22" s="1"/>
  <c r="R147" i="22"/>
  <c r="Q147" i="22"/>
  <c r="M147" i="22"/>
  <c r="L146" i="17"/>
  <c r="V146" i="17" s="1"/>
  <c r="P146" i="17"/>
  <c r="T146" i="17" s="1"/>
  <c r="O146" i="17"/>
  <c r="N146" i="17"/>
  <c r="R146" i="17"/>
  <c r="S146" i="17"/>
  <c r="U146" i="17" s="1"/>
  <c r="C147" i="17" s="1"/>
  <c r="Q146" i="17"/>
  <c r="M146" i="17"/>
  <c r="W145" i="15"/>
  <c r="X145" i="15" s="1"/>
  <c r="B146" i="15"/>
  <c r="D146" i="15" s="1"/>
  <c r="E146" i="15" s="1"/>
  <c r="F146" i="15" s="1"/>
  <c r="G146" i="15" s="1"/>
  <c r="H146" i="15" s="1"/>
  <c r="W134" i="8"/>
  <c r="X134" i="8" s="1"/>
  <c r="B135" i="8"/>
  <c r="D135" i="8" s="1"/>
  <c r="E135" i="8" s="1"/>
  <c r="F135" i="8" s="1"/>
  <c r="G135" i="8" s="1"/>
  <c r="H135" i="8" s="1"/>
  <c r="W147" i="22" l="1"/>
  <c r="X147" i="22" s="1"/>
  <c r="B148" i="22"/>
  <c r="D148" i="22" s="1"/>
  <c r="E148" i="22" s="1"/>
  <c r="F148" i="22" s="1"/>
  <c r="G148" i="22" s="1"/>
  <c r="H148" i="22" s="1"/>
  <c r="B147" i="17"/>
  <c r="D147" i="17" s="1"/>
  <c r="E147" i="17" s="1"/>
  <c r="F147" i="17" s="1"/>
  <c r="G147" i="17" s="1"/>
  <c r="H147" i="17" s="1"/>
  <c r="W146" i="17"/>
  <c r="X146" i="17" s="1"/>
  <c r="K146" i="15"/>
  <c r="I146" i="15"/>
  <c r="J146" i="15" s="1"/>
  <c r="I135" i="8"/>
  <c r="J135" i="8" s="1"/>
  <c r="K135" i="8"/>
  <c r="K148" i="22" l="1"/>
  <c r="I148" i="22"/>
  <c r="J148" i="22" s="1"/>
  <c r="K147" i="17"/>
  <c r="I147" i="17"/>
  <c r="J147" i="17" s="1"/>
  <c r="L146" i="15"/>
  <c r="V146" i="15" s="1"/>
  <c r="P146" i="15"/>
  <c r="T146" i="15" s="1"/>
  <c r="N146" i="15"/>
  <c r="O146" i="15"/>
  <c r="S146" i="15"/>
  <c r="U146" i="15" s="1"/>
  <c r="C147" i="15" s="1"/>
  <c r="R146" i="15"/>
  <c r="Q146" i="15"/>
  <c r="M146" i="15"/>
  <c r="S135" i="8"/>
  <c r="U135" i="8" s="1"/>
  <c r="C136" i="8" s="1"/>
  <c r="R135" i="8"/>
  <c r="M135" i="8"/>
  <c r="Q135" i="8"/>
  <c r="L135" i="8"/>
  <c r="V135" i="8" s="1"/>
  <c r="N135" i="8"/>
  <c r="O135" i="8"/>
  <c r="P148" i="22" l="1"/>
  <c r="T148" i="22" s="1"/>
  <c r="L148" i="22"/>
  <c r="V148" i="22" s="1"/>
  <c r="O148" i="22"/>
  <c r="N148" i="22"/>
  <c r="S148" i="22"/>
  <c r="U148" i="22" s="1"/>
  <c r="C149" i="22" s="1"/>
  <c r="Q148" i="22"/>
  <c r="M148" i="22"/>
  <c r="R148" i="22"/>
  <c r="O147" i="17"/>
  <c r="N147" i="17"/>
  <c r="L147" i="17"/>
  <c r="V147" i="17" s="1"/>
  <c r="P147" i="17"/>
  <c r="T147" i="17" s="1"/>
  <c r="M147" i="17"/>
  <c r="Q147" i="17"/>
  <c r="S147" i="17"/>
  <c r="U147" i="17" s="1"/>
  <c r="C148" i="17" s="1"/>
  <c r="R147" i="17"/>
  <c r="W146" i="15"/>
  <c r="X146" i="15" s="1"/>
  <c r="B147" i="15"/>
  <c r="D147" i="15" s="1"/>
  <c r="E147" i="15" s="1"/>
  <c r="F147" i="15" s="1"/>
  <c r="G147" i="15" s="1"/>
  <c r="H147" i="15" s="1"/>
  <c r="P135" i="8"/>
  <c r="T135" i="8" s="1"/>
  <c r="W135" i="8" s="1"/>
  <c r="X135" i="8" s="1"/>
  <c r="B149" i="22" l="1"/>
  <c r="D149" i="22" s="1"/>
  <c r="E149" i="22" s="1"/>
  <c r="F149" i="22" s="1"/>
  <c r="G149" i="22" s="1"/>
  <c r="H149" i="22" s="1"/>
  <c r="W148" i="22"/>
  <c r="X148" i="22" s="1"/>
  <c r="B148" i="17"/>
  <c r="D148" i="17" s="1"/>
  <c r="E148" i="17" s="1"/>
  <c r="F148" i="17" s="1"/>
  <c r="G148" i="17" s="1"/>
  <c r="H148" i="17" s="1"/>
  <c r="W147" i="17"/>
  <c r="X147" i="17" s="1"/>
  <c r="K147" i="15"/>
  <c r="I147" i="15"/>
  <c r="J147" i="15" s="1"/>
  <c r="B136" i="8"/>
  <c r="D136" i="8" s="1"/>
  <c r="E136" i="8" s="1"/>
  <c r="F136" i="8" s="1"/>
  <c r="G136" i="8" s="1"/>
  <c r="H136" i="8" s="1"/>
  <c r="I136" i="8" s="1"/>
  <c r="J136" i="8" s="1"/>
  <c r="K149" i="22" l="1"/>
  <c r="I149" i="22"/>
  <c r="J149" i="22" s="1"/>
  <c r="K148" i="17"/>
  <c r="I148" i="17"/>
  <c r="J148" i="17" s="1"/>
  <c r="O147" i="15"/>
  <c r="N147" i="15"/>
  <c r="P147" i="15"/>
  <c r="T147" i="15" s="1"/>
  <c r="L147" i="15"/>
  <c r="V147" i="15" s="1"/>
  <c r="M147" i="15"/>
  <c r="R147" i="15"/>
  <c r="Q147" i="15"/>
  <c r="S147" i="15"/>
  <c r="U147" i="15" s="1"/>
  <c r="C148" i="15" s="1"/>
  <c r="K136" i="8"/>
  <c r="M136" i="8" s="1"/>
  <c r="L136" i="8"/>
  <c r="O136" i="8"/>
  <c r="N136" i="8"/>
  <c r="L149" i="22" l="1"/>
  <c r="V149" i="22" s="1"/>
  <c r="P149" i="22"/>
  <c r="T149" i="22" s="1"/>
  <c r="O149" i="22"/>
  <c r="N149" i="22"/>
  <c r="S149" i="22"/>
  <c r="U149" i="22" s="1"/>
  <c r="C150" i="22" s="1"/>
  <c r="R149" i="22"/>
  <c r="Q149" i="22"/>
  <c r="M149" i="22"/>
  <c r="N148" i="17"/>
  <c r="P148" i="17"/>
  <c r="T148" i="17" s="1"/>
  <c r="O148" i="17"/>
  <c r="L148" i="17"/>
  <c r="V148" i="17" s="1"/>
  <c r="S148" i="17"/>
  <c r="U148" i="17" s="1"/>
  <c r="C149" i="17" s="1"/>
  <c r="R148" i="17"/>
  <c r="Q148" i="17"/>
  <c r="M148" i="17"/>
  <c r="B148" i="15"/>
  <c r="D148" i="15" s="1"/>
  <c r="E148" i="15" s="1"/>
  <c r="F148" i="15" s="1"/>
  <c r="G148" i="15" s="1"/>
  <c r="H148" i="15" s="1"/>
  <c r="W147" i="15"/>
  <c r="X147" i="15" s="1"/>
  <c r="R136" i="8"/>
  <c r="Q136" i="8"/>
  <c r="S136" i="8"/>
  <c r="U136" i="8" s="1"/>
  <c r="C137" i="8" s="1"/>
  <c r="V136" i="8"/>
  <c r="P136" i="8"/>
  <c r="T136" i="8" s="1"/>
  <c r="W149" i="22" l="1"/>
  <c r="X149" i="22" s="1"/>
  <c r="B150" i="22"/>
  <c r="D150" i="22" s="1"/>
  <c r="E150" i="22" s="1"/>
  <c r="F150" i="22" s="1"/>
  <c r="G150" i="22" s="1"/>
  <c r="H150" i="22" s="1"/>
  <c r="W148" i="17"/>
  <c r="X148" i="17" s="1"/>
  <c r="B149" i="17"/>
  <c r="D149" i="17" s="1"/>
  <c r="E149" i="17" s="1"/>
  <c r="F149" i="17" s="1"/>
  <c r="G149" i="17" s="1"/>
  <c r="H149" i="17" s="1"/>
  <c r="K148" i="15"/>
  <c r="I148" i="15"/>
  <c r="J148" i="15" s="1"/>
  <c r="B137" i="8"/>
  <c r="D137" i="8" s="1"/>
  <c r="E137" i="8" s="1"/>
  <c r="F137" i="8" s="1"/>
  <c r="G137" i="8" s="1"/>
  <c r="H137" i="8" s="1"/>
  <c r="W136" i="8"/>
  <c r="X136" i="8" s="1"/>
  <c r="I150" i="22" l="1"/>
  <c r="J150" i="22" s="1"/>
  <c r="K150" i="22"/>
  <c r="K149" i="17"/>
  <c r="I149" i="17"/>
  <c r="J149" i="17" s="1"/>
  <c r="N148" i="15"/>
  <c r="L148" i="15"/>
  <c r="V148" i="15" s="1"/>
  <c r="P148" i="15"/>
  <c r="T148" i="15" s="1"/>
  <c r="O148" i="15"/>
  <c r="M148" i="15"/>
  <c r="S148" i="15"/>
  <c r="U148" i="15" s="1"/>
  <c r="C149" i="15" s="1"/>
  <c r="R148" i="15"/>
  <c r="Q148" i="15"/>
  <c r="I137" i="8"/>
  <c r="J137" i="8" s="1"/>
  <c r="K137" i="8"/>
  <c r="R150" i="22" l="1"/>
  <c r="Q150" i="22"/>
  <c r="S150" i="22"/>
  <c r="U150" i="22" s="1"/>
  <c r="C151" i="22" s="1"/>
  <c r="M150" i="22"/>
  <c r="O150" i="22"/>
  <c r="P150" i="22"/>
  <c r="T150" i="22" s="1"/>
  <c r="N150" i="22"/>
  <c r="L150" i="22"/>
  <c r="V150" i="22" s="1"/>
  <c r="P149" i="17"/>
  <c r="T149" i="17" s="1"/>
  <c r="O149" i="17"/>
  <c r="N149" i="17"/>
  <c r="L149" i="17"/>
  <c r="V149" i="17" s="1"/>
  <c r="Q149" i="17"/>
  <c r="S149" i="17"/>
  <c r="U149" i="17" s="1"/>
  <c r="C150" i="17" s="1"/>
  <c r="R149" i="17"/>
  <c r="M149" i="17"/>
  <c r="W148" i="15"/>
  <c r="X148" i="15" s="1"/>
  <c r="B149" i="15"/>
  <c r="D149" i="15" s="1"/>
  <c r="E149" i="15" s="1"/>
  <c r="F149" i="15" s="1"/>
  <c r="G149" i="15" s="1"/>
  <c r="H149" i="15" s="1"/>
  <c r="R137" i="8"/>
  <c r="Q137" i="8"/>
  <c r="S137" i="8"/>
  <c r="U137" i="8" s="1"/>
  <c r="C138" i="8" s="1"/>
  <c r="M137" i="8"/>
  <c r="N137" i="8"/>
  <c r="O137" i="8"/>
  <c r="L137" i="8"/>
  <c r="V137" i="8" s="1"/>
  <c r="W150" i="22" l="1"/>
  <c r="X150" i="22" s="1"/>
  <c r="B151" i="22"/>
  <c r="D151" i="22" s="1"/>
  <c r="E151" i="22" s="1"/>
  <c r="F151" i="22" s="1"/>
  <c r="G151" i="22" s="1"/>
  <c r="H151" i="22" s="1"/>
  <c r="B150" i="17"/>
  <c r="D150" i="17" s="1"/>
  <c r="E150" i="17" s="1"/>
  <c r="F150" i="17" s="1"/>
  <c r="G150" i="17" s="1"/>
  <c r="H150" i="17" s="1"/>
  <c r="W149" i="17"/>
  <c r="X149" i="17" s="1"/>
  <c r="I149" i="15"/>
  <c r="J149" i="15" s="1"/>
  <c r="K149" i="15"/>
  <c r="P137" i="8"/>
  <c r="T137" i="8" s="1"/>
  <c r="K151" i="22" l="1"/>
  <c r="I151" i="22"/>
  <c r="J151" i="22" s="1"/>
  <c r="I150" i="17"/>
  <c r="J150" i="17" s="1"/>
  <c r="K150" i="17"/>
  <c r="Q149" i="15"/>
  <c r="S149" i="15"/>
  <c r="U149" i="15" s="1"/>
  <c r="C150" i="15" s="1"/>
  <c r="R149" i="15"/>
  <c r="M149" i="15"/>
  <c r="P149" i="15"/>
  <c r="T149" i="15" s="1"/>
  <c r="O149" i="15"/>
  <c r="N149" i="15"/>
  <c r="L149" i="15"/>
  <c r="V149" i="15" s="1"/>
  <c r="W137" i="8"/>
  <c r="X137" i="8" s="1"/>
  <c r="B138" i="8"/>
  <c r="D138" i="8" s="1"/>
  <c r="E138" i="8" s="1"/>
  <c r="F138" i="8" s="1"/>
  <c r="G138" i="8" s="1"/>
  <c r="H138" i="8" s="1"/>
  <c r="N151" i="22" l="1"/>
  <c r="P151" i="22"/>
  <c r="T151" i="22" s="1"/>
  <c r="L151" i="22"/>
  <c r="V151" i="22" s="1"/>
  <c r="O151" i="22"/>
  <c r="Q151" i="22"/>
  <c r="S151" i="22"/>
  <c r="U151" i="22" s="1"/>
  <c r="C152" i="22" s="1"/>
  <c r="R151" i="22"/>
  <c r="M151" i="22"/>
  <c r="S150" i="17"/>
  <c r="U150" i="17" s="1"/>
  <c r="C151" i="17" s="1"/>
  <c r="R150" i="17"/>
  <c r="Q150" i="17"/>
  <c r="M150" i="17"/>
  <c r="P150" i="17"/>
  <c r="T150" i="17" s="1"/>
  <c r="L150" i="17"/>
  <c r="V150" i="17" s="1"/>
  <c r="O150" i="17"/>
  <c r="N150" i="17"/>
  <c r="B150" i="15"/>
  <c r="D150" i="15" s="1"/>
  <c r="E150" i="15" s="1"/>
  <c r="F150" i="15" s="1"/>
  <c r="G150" i="15" s="1"/>
  <c r="H150" i="15" s="1"/>
  <c r="W149" i="15"/>
  <c r="X149" i="15" s="1"/>
  <c r="K138" i="8"/>
  <c r="I138" i="8"/>
  <c r="J138" i="8" s="1"/>
  <c r="B152" i="22" l="1"/>
  <c r="D152" i="22" s="1"/>
  <c r="E152" i="22" s="1"/>
  <c r="F152" i="22" s="1"/>
  <c r="G152" i="22" s="1"/>
  <c r="H152" i="22" s="1"/>
  <c r="W151" i="22"/>
  <c r="X151" i="22" s="1"/>
  <c r="B151" i="17"/>
  <c r="D151" i="17" s="1"/>
  <c r="E151" i="17" s="1"/>
  <c r="F151" i="17" s="1"/>
  <c r="G151" i="17" s="1"/>
  <c r="H151" i="17" s="1"/>
  <c r="W150" i="17"/>
  <c r="X150" i="17" s="1"/>
  <c r="I150" i="15"/>
  <c r="J150" i="15" s="1"/>
  <c r="K150" i="15"/>
  <c r="O138" i="8"/>
  <c r="N138" i="8"/>
  <c r="L138" i="8"/>
  <c r="M138" i="8"/>
  <c r="S138" i="8"/>
  <c r="U138" i="8" s="1"/>
  <c r="C139" i="8" s="1"/>
  <c r="Q138" i="8"/>
  <c r="R138" i="8"/>
  <c r="K152" i="22" l="1"/>
  <c r="I152" i="22"/>
  <c r="J152" i="22" s="1"/>
  <c r="I151" i="17"/>
  <c r="J151" i="17" s="1"/>
  <c r="K151" i="17"/>
  <c r="M150" i="15"/>
  <c r="R150" i="15"/>
  <c r="S150" i="15"/>
  <c r="U150" i="15" s="1"/>
  <c r="C151" i="15" s="1"/>
  <c r="Q150" i="15"/>
  <c r="P150" i="15"/>
  <c r="T150" i="15" s="1"/>
  <c r="O150" i="15"/>
  <c r="N150" i="15"/>
  <c r="L150" i="15"/>
  <c r="V150" i="15" s="1"/>
  <c r="V138" i="8"/>
  <c r="P138" i="8"/>
  <c r="T138" i="8" s="1"/>
  <c r="L152" i="22" l="1"/>
  <c r="V152" i="22" s="1"/>
  <c r="P152" i="22"/>
  <c r="T152" i="22" s="1"/>
  <c r="O152" i="22"/>
  <c r="N152" i="22"/>
  <c r="S152" i="22"/>
  <c r="U152" i="22" s="1"/>
  <c r="C153" i="22" s="1"/>
  <c r="R152" i="22"/>
  <c r="M152" i="22"/>
  <c r="Q152" i="22"/>
  <c r="S151" i="17"/>
  <c r="U151" i="17" s="1"/>
  <c r="C152" i="17" s="1"/>
  <c r="R151" i="17"/>
  <c r="Q151" i="17"/>
  <c r="M151" i="17"/>
  <c r="P151" i="17"/>
  <c r="T151" i="17" s="1"/>
  <c r="O151" i="17"/>
  <c r="N151" i="17"/>
  <c r="L151" i="17"/>
  <c r="V151" i="17" s="1"/>
  <c r="B151" i="15"/>
  <c r="D151" i="15" s="1"/>
  <c r="E151" i="15" s="1"/>
  <c r="F151" i="15" s="1"/>
  <c r="G151" i="15" s="1"/>
  <c r="H151" i="15" s="1"/>
  <c r="W150" i="15"/>
  <c r="X150" i="15" s="1"/>
  <c r="B139" i="8"/>
  <c r="D139" i="8" s="1"/>
  <c r="E139" i="8" s="1"/>
  <c r="F139" i="8" s="1"/>
  <c r="G139" i="8" s="1"/>
  <c r="H139" i="8" s="1"/>
  <c r="W138" i="8"/>
  <c r="X138" i="8" s="1"/>
  <c r="W152" i="22" l="1"/>
  <c r="X152" i="22" s="1"/>
  <c r="B153" i="22"/>
  <c r="D153" i="22" s="1"/>
  <c r="E153" i="22" s="1"/>
  <c r="F153" i="22" s="1"/>
  <c r="G153" i="22" s="1"/>
  <c r="H153" i="22" s="1"/>
  <c r="W151" i="17"/>
  <c r="X151" i="17" s="1"/>
  <c r="B152" i="17"/>
  <c r="D152" i="17" s="1"/>
  <c r="E152" i="17" s="1"/>
  <c r="F152" i="17" s="1"/>
  <c r="G152" i="17" s="1"/>
  <c r="H152" i="17" s="1"/>
  <c r="K151" i="15"/>
  <c r="I151" i="15"/>
  <c r="J151" i="15" s="1"/>
  <c r="I139" i="8"/>
  <c r="J139" i="8" s="1"/>
  <c r="K139" i="8"/>
  <c r="K153" i="22" l="1"/>
  <c r="I153" i="22"/>
  <c r="J153" i="22" s="1"/>
  <c r="K152" i="17"/>
  <c r="I152" i="17"/>
  <c r="J152" i="17" s="1"/>
  <c r="P151" i="15"/>
  <c r="T151" i="15" s="1"/>
  <c r="L151" i="15"/>
  <c r="V151" i="15" s="1"/>
  <c r="N151" i="15"/>
  <c r="O151" i="15"/>
  <c r="S151" i="15"/>
  <c r="U151" i="15" s="1"/>
  <c r="C152" i="15" s="1"/>
  <c r="R151" i="15"/>
  <c r="Q151" i="15"/>
  <c r="M151" i="15"/>
  <c r="R139" i="8"/>
  <c r="Q139" i="8"/>
  <c r="M139" i="8"/>
  <c r="S139" i="8"/>
  <c r="U139" i="8" s="1"/>
  <c r="C140" i="8" s="1"/>
  <c r="N139" i="8"/>
  <c r="L139" i="8"/>
  <c r="O139" i="8"/>
  <c r="P153" i="22" l="1"/>
  <c r="T153" i="22" s="1"/>
  <c r="N153" i="22"/>
  <c r="L153" i="22"/>
  <c r="V153" i="22" s="1"/>
  <c r="O153" i="22"/>
  <c r="R153" i="22"/>
  <c r="Q153" i="22"/>
  <c r="M153" i="22"/>
  <c r="S153" i="22"/>
  <c r="U153" i="22" s="1"/>
  <c r="C154" i="22" s="1"/>
  <c r="L152" i="17"/>
  <c r="V152" i="17" s="1"/>
  <c r="P152" i="17"/>
  <c r="T152" i="17" s="1"/>
  <c r="O152" i="17"/>
  <c r="N152" i="17"/>
  <c r="S152" i="17"/>
  <c r="U152" i="17" s="1"/>
  <c r="C153" i="17" s="1"/>
  <c r="R152" i="17"/>
  <c r="Q152" i="17"/>
  <c r="M152" i="17"/>
  <c r="W151" i="15"/>
  <c r="X151" i="15" s="1"/>
  <c r="B152" i="15"/>
  <c r="D152" i="15" s="1"/>
  <c r="E152" i="15" s="1"/>
  <c r="F152" i="15" s="1"/>
  <c r="G152" i="15" s="1"/>
  <c r="H152" i="15" s="1"/>
  <c r="V139" i="8"/>
  <c r="P139" i="8"/>
  <c r="T139" i="8" s="1"/>
  <c r="B154" i="22" l="1"/>
  <c r="D154" i="22" s="1"/>
  <c r="E154" i="22" s="1"/>
  <c r="F154" i="22" s="1"/>
  <c r="G154" i="22" s="1"/>
  <c r="H154" i="22" s="1"/>
  <c r="W153" i="22"/>
  <c r="X153" i="22" s="1"/>
  <c r="B153" i="17"/>
  <c r="D153" i="17" s="1"/>
  <c r="E153" i="17" s="1"/>
  <c r="F153" i="17" s="1"/>
  <c r="G153" i="17" s="1"/>
  <c r="H153" i="17" s="1"/>
  <c r="W152" i="17"/>
  <c r="X152" i="17" s="1"/>
  <c r="K152" i="15"/>
  <c r="I152" i="15"/>
  <c r="J152" i="15" s="1"/>
  <c r="B140" i="8"/>
  <c r="D140" i="8" s="1"/>
  <c r="E140" i="8" s="1"/>
  <c r="F140" i="8" s="1"/>
  <c r="G140" i="8" s="1"/>
  <c r="H140" i="8" s="1"/>
  <c r="W139" i="8"/>
  <c r="X139" i="8" s="1"/>
  <c r="I154" i="22" l="1"/>
  <c r="J154" i="22" s="1"/>
  <c r="K154" i="22"/>
  <c r="K153" i="17"/>
  <c r="I153" i="17"/>
  <c r="J153" i="17" s="1"/>
  <c r="L152" i="15"/>
  <c r="V152" i="15" s="1"/>
  <c r="P152" i="15"/>
  <c r="T152" i="15" s="1"/>
  <c r="O152" i="15"/>
  <c r="N152" i="15"/>
  <c r="S152" i="15"/>
  <c r="U152" i="15" s="1"/>
  <c r="C153" i="15" s="1"/>
  <c r="R152" i="15"/>
  <c r="Q152" i="15"/>
  <c r="M152" i="15"/>
  <c r="I140" i="8"/>
  <c r="J140" i="8" s="1"/>
  <c r="K140" i="8"/>
  <c r="P154" i="22" l="1"/>
  <c r="T154" i="22" s="1"/>
  <c r="O154" i="22"/>
  <c r="L154" i="22"/>
  <c r="V154" i="22" s="1"/>
  <c r="N154" i="22"/>
  <c r="M154" i="22"/>
  <c r="S154" i="22"/>
  <c r="U154" i="22" s="1"/>
  <c r="R154" i="22"/>
  <c r="Q154" i="22"/>
  <c r="P153" i="17"/>
  <c r="T153" i="17" s="1"/>
  <c r="O153" i="17"/>
  <c r="N153" i="17"/>
  <c r="L153" i="17"/>
  <c r="V153" i="17" s="1"/>
  <c r="S153" i="17"/>
  <c r="U153" i="17" s="1"/>
  <c r="C154" i="17" s="1"/>
  <c r="R153" i="17"/>
  <c r="Q153" i="17"/>
  <c r="M153" i="17"/>
  <c r="W152" i="15"/>
  <c r="X152" i="15" s="1"/>
  <c r="B153" i="15"/>
  <c r="D153" i="15" s="1"/>
  <c r="E153" i="15" s="1"/>
  <c r="F153" i="15" s="1"/>
  <c r="G153" i="15" s="1"/>
  <c r="H153" i="15" s="1"/>
  <c r="R140" i="8"/>
  <c r="S140" i="8"/>
  <c r="U140" i="8" s="1"/>
  <c r="C141" i="8" s="1"/>
  <c r="Q140" i="8"/>
  <c r="M140" i="8"/>
  <c r="O140" i="8"/>
  <c r="L140" i="8"/>
  <c r="N140" i="8"/>
  <c r="W154" i="22" l="1"/>
  <c r="X154" i="22" s="1"/>
  <c r="AA306" i="22" s="1"/>
  <c r="B154" i="17"/>
  <c r="D154" i="17" s="1"/>
  <c r="E154" i="17" s="1"/>
  <c r="F154" i="17" s="1"/>
  <c r="G154" i="17" s="1"/>
  <c r="H154" i="17" s="1"/>
  <c r="W153" i="17"/>
  <c r="X153" i="17" s="1"/>
  <c r="K153" i="15"/>
  <c r="I153" i="15"/>
  <c r="J153" i="15" s="1"/>
  <c r="V140" i="8"/>
  <c r="P140" i="8"/>
  <c r="T140" i="8" s="1"/>
  <c r="AA311" i="22" l="1"/>
  <c r="AB311" i="22" s="1"/>
  <c r="AA296" i="22"/>
  <c r="AA259" i="22"/>
  <c r="AB259" i="22" s="1"/>
  <c r="AA282" i="22"/>
  <c r="AD282" i="22" s="1"/>
  <c r="AE282" i="22" s="1"/>
  <c r="AA252" i="22"/>
  <c r="AC252" i="22" s="1"/>
  <c r="AA211" i="22"/>
  <c r="AB211" i="22" s="1"/>
  <c r="AA238" i="22"/>
  <c r="AD238" i="22" s="1"/>
  <c r="AE238" i="22" s="1"/>
  <c r="AA285" i="22"/>
  <c r="AD285" i="22" s="1"/>
  <c r="AE285" i="22" s="1"/>
  <c r="AA286" i="22"/>
  <c r="AD286" i="22" s="1"/>
  <c r="AE286" i="22" s="1"/>
  <c r="AA297" i="22"/>
  <c r="AD297" i="22" s="1"/>
  <c r="AE297" i="22" s="1"/>
  <c r="AA283" i="22"/>
  <c r="AD283" i="22" s="1"/>
  <c r="AE283" i="22" s="1"/>
  <c r="AA279" i="22"/>
  <c r="AD279" i="22" s="1"/>
  <c r="AE279" i="22" s="1"/>
  <c r="AA249" i="22"/>
  <c r="AD249" i="22" s="1"/>
  <c r="AE249" i="22" s="1"/>
  <c r="AA307" i="22"/>
  <c r="AD307" i="22" s="1"/>
  <c r="AE307" i="22" s="1"/>
  <c r="AA289" i="22"/>
  <c r="AC289" i="22" s="1"/>
  <c r="AA301" i="22"/>
  <c r="AC301" i="22" s="1"/>
  <c r="AA218" i="22"/>
  <c r="AD218" i="22" s="1"/>
  <c r="AE218" i="22" s="1"/>
  <c r="AA266" i="22"/>
  <c r="AA245" i="22"/>
  <c r="AD245" i="22" s="1"/>
  <c r="AE245" i="22" s="1"/>
  <c r="AA318" i="22"/>
  <c r="AB318" i="22" s="1"/>
  <c r="AA323" i="22"/>
  <c r="AB323" i="22" s="1"/>
  <c r="AA244" i="22"/>
  <c r="AB244" i="22" s="1"/>
  <c r="AA248" i="22"/>
  <c r="AD248" i="22" s="1"/>
  <c r="AE248" i="22" s="1"/>
  <c r="AA314" i="22"/>
  <c r="AC314" i="22" s="1"/>
  <c r="AA268" i="22"/>
  <c r="AD268" i="22" s="1"/>
  <c r="AE268" i="22" s="1"/>
  <c r="AA217" i="22"/>
  <c r="AC217" i="22" s="1"/>
  <c r="AA242" i="22"/>
  <c r="AC242" i="22" s="1"/>
  <c r="AA261" i="22"/>
  <c r="AD261" i="22" s="1"/>
  <c r="AE261" i="22" s="1"/>
  <c r="AA210" i="22"/>
  <c r="AD210" i="22" s="1"/>
  <c r="AE210" i="22" s="1"/>
  <c r="AA262" i="22"/>
  <c r="AB262" i="22" s="1"/>
  <c r="AA230" i="22"/>
  <c r="AD230" i="22" s="1"/>
  <c r="AE230" i="22" s="1"/>
  <c r="AA219" i="22"/>
  <c r="AB219" i="22" s="1"/>
  <c r="A359" i="22"/>
  <c r="AA326" i="22"/>
  <c r="AA222" i="22"/>
  <c r="AB222" i="22" s="1"/>
  <c r="AA237" i="22"/>
  <c r="AB237" i="22" s="1"/>
  <c r="AA241" i="22"/>
  <c r="AC241" i="22" s="1"/>
  <c r="AA300" i="22"/>
  <c r="AD300" i="22" s="1"/>
  <c r="AE300" i="22" s="1"/>
  <c r="AA221" i="22"/>
  <c r="AD221" i="22" s="1"/>
  <c r="AE221" i="22" s="1"/>
  <c r="AA329" i="22"/>
  <c r="AB329" i="22" s="1"/>
  <c r="AA312" i="22"/>
  <c r="AB312" i="22" s="1"/>
  <c r="AA315" i="22"/>
  <c r="AB315" i="22" s="1"/>
  <c r="AA276" i="22"/>
  <c r="AB276" i="22" s="1"/>
  <c r="AA255" i="22"/>
  <c r="AC255" i="22" s="1"/>
  <c r="AA215" i="22"/>
  <c r="AB215" i="22" s="1"/>
  <c r="AA278" i="22"/>
  <c r="AC278" i="22" s="1"/>
  <c r="AA273" i="22"/>
  <c r="AD273" i="22" s="1"/>
  <c r="AE273" i="22" s="1"/>
  <c r="AA251" i="22"/>
  <c r="AB251" i="22" s="1"/>
  <c r="AA263" i="22"/>
  <c r="AD263" i="22" s="1"/>
  <c r="AE263" i="22" s="1"/>
  <c r="AA325" i="22"/>
  <c r="AB325" i="22" s="1"/>
  <c r="AA269" i="22"/>
  <c r="AC269" i="22" s="1"/>
  <c r="AA258" i="22"/>
  <c r="AB258" i="22" s="1"/>
  <c r="AA220" i="22"/>
  <c r="AB220" i="22" s="1"/>
  <c r="AA308" i="22"/>
  <c r="AC308" i="22" s="1"/>
  <c r="AA235" i="22"/>
  <c r="AD235" i="22" s="1"/>
  <c r="AE235" i="22" s="1"/>
  <c r="AA227" i="22"/>
  <c r="AB227" i="22" s="1"/>
  <c r="AA265" i="22"/>
  <c r="AC265" i="22" s="1"/>
  <c r="AA228" i="22"/>
  <c r="AC228" i="22" s="1"/>
  <c r="AA294" i="22"/>
  <c r="AC294" i="22" s="1"/>
  <c r="AA271" i="22"/>
  <c r="AD271" i="22" s="1"/>
  <c r="AE271" i="22" s="1"/>
  <c r="AA232" i="22"/>
  <c r="AB232" i="22" s="1"/>
  <c r="AA226" i="22"/>
  <c r="AC226" i="22" s="1"/>
  <c r="AA303" i="22"/>
  <c r="AD303" i="22" s="1"/>
  <c r="AE303" i="22" s="1"/>
  <c r="AA231" i="22"/>
  <c r="AD231" i="22" s="1"/>
  <c r="AE231" i="22" s="1"/>
  <c r="AA236" i="22"/>
  <c r="AC236" i="22" s="1"/>
  <c r="AA213" i="22"/>
  <c r="AD213" i="22" s="1"/>
  <c r="AE213" i="22" s="1"/>
  <c r="AA254" i="22"/>
  <c r="AB254" i="22" s="1"/>
  <c r="AA234" i="22"/>
  <c r="AB234" i="22" s="1"/>
  <c r="AA305" i="22"/>
  <c r="AC305" i="22" s="1"/>
  <c r="AA292" i="22"/>
  <c r="AD292" i="22" s="1"/>
  <c r="AE292" i="22" s="1"/>
  <c r="AA293" i="22"/>
  <c r="AC293" i="22" s="1"/>
  <c r="AA275" i="22"/>
  <c r="AD275" i="22" s="1"/>
  <c r="AE275" i="22" s="1"/>
  <c r="AA280" i="22"/>
  <c r="AB280" i="22" s="1"/>
  <c r="AA298" i="22"/>
  <c r="AD298" i="22" s="1"/>
  <c r="AE298" i="22" s="1"/>
  <c r="AA246" i="22"/>
  <c r="AD246" i="22" s="1"/>
  <c r="AE246" i="22" s="1"/>
  <c r="AA277" i="22"/>
  <c r="AB277" i="22" s="1"/>
  <c r="AA324" i="22"/>
  <c r="AD324" i="22" s="1"/>
  <c r="AE324" i="22" s="1"/>
  <c r="AA212" i="22"/>
  <c r="AD212" i="22" s="1"/>
  <c r="AE212" i="22" s="1"/>
  <c r="AA319" i="22"/>
  <c r="AC319" i="22" s="1"/>
  <c r="AA291" i="22"/>
  <c r="AB291" i="22" s="1"/>
  <c r="AA225" i="22"/>
  <c r="AD225" i="22" s="1"/>
  <c r="AE225" i="22" s="1"/>
  <c r="AA313" i="22"/>
  <c r="AD313" i="22" s="1"/>
  <c r="AE313" i="22" s="1"/>
  <c r="AA243" i="22"/>
  <c r="AB243" i="22" s="1"/>
  <c r="AA250" i="22"/>
  <c r="AC250" i="22" s="1"/>
  <c r="A358" i="22"/>
  <c r="AA284" i="22"/>
  <c r="AB284" i="22" s="1"/>
  <c r="AA316" i="22"/>
  <c r="AB316" i="22" s="1"/>
  <c r="AA295" i="22"/>
  <c r="AD295" i="22" s="1"/>
  <c r="AE295" i="22" s="1"/>
  <c r="AA214" i="22"/>
  <c r="AC214" i="22" s="1"/>
  <c r="AA327" i="22"/>
  <c r="AD327" i="22" s="1"/>
  <c r="AE327" i="22" s="1"/>
  <c r="AA216" i="22"/>
  <c r="AB216" i="22" s="1"/>
  <c r="AA257" i="22"/>
  <c r="AB257" i="22" s="1"/>
  <c r="AA239" i="22"/>
  <c r="AD239" i="22" s="1"/>
  <c r="AE239" i="22" s="1"/>
  <c r="AA274" i="22"/>
  <c r="AD274" i="22" s="1"/>
  <c r="AE274" i="22" s="1"/>
  <c r="AA328" i="22"/>
  <c r="AC328" i="22" s="1"/>
  <c r="AA223" i="22"/>
  <c r="AC223" i="22" s="1"/>
  <c r="AA247" i="22"/>
  <c r="AC247" i="22" s="1"/>
  <c r="AA270" i="22"/>
  <c r="AC270" i="22" s="1"/>
  <c r="AA281" i="22"/>
  <c r="AD281" i="22" s="1"/>
  <c r="AE281" i="22" s="1"/>
  <c r="AA309" i="22"/>
  <c r="AC309" i="22" s="1"/>
  <c r="AA299" i="22"/>
  <c r="AC299" i="22" s="1"/>
  <c r="AA260" i="22"/>
  <c r="AD260" i="22" s="1"/>
  <c r="AE260" i="22" s="1"/>
  <c r="AA264" i="22"/>
  <c r="AC264" i="22" s="1"/>
  <c r="AA302" i="22"/>
  <c r="AB302" i="22" s="1"/>
  <c r="AA310" i="22"/>
  <c r="AB310" i="22" s="1"/>
  <c r="AA256" i="22"/>
  <c r="AD256" i="22" s="1"/>
  <c r="AE256" i="22" s="1"/>
  <c r="AA321" i="22"/>
  <c r="AB321" i="22" s="1"/>
  <c r="AA287" i="22"/>
  <c r="AD287" i="22" s="1"/>
  <c r="AE287" i="22" s="1"/>
  <c r="AA267" i="22"/>
  <c r="AC267" i="22" s="1"/>
  <c r="AA224" i="22"/>
  <c r="AB224" i="22" s="1"/>
  <c r="AA240" i="22"/>
  <c r="AB240" i="22" s="1"/>
  <c r="AA229" i="22"/>
  <c r="AD229" i="22" s="1"/>
  <c r="AE229" i="22" s="1"/>
  <c r="AA317" i="22"/>
  <c r="AC317" i="22" s="1"/>
  <c r="AA272" i="22"/>
  <c r="AC272" i="22" s="1"/>
  <c r="AA288" i="22"/>
  <c r="AB288" i="22" s="1"/>
  <c r="AA253" i="22"/>
  <c r="AC253" i="22" s="1"/>
  <c r="AA233" i="22"/>
  <c r="AC233" i="22" s="1"/>
  <c r="AA304" i="22"/>
  <c r="AD304" i="22" s="1"/>
  <c r="AE304" i="22" s="1"/>
  <c r="AA320" i="22"/>
  <c r="AC320" i="22" s="1"/>
  <c r="AA322" i="22"/>
  <c r="AB322" i="22" s="1"/>
  <c r="AA290" i="22"/>
  <c r="AB290" i="22" s="1"/>
  <c r="AC296" i="22"/>
  <c r="AB296" i="22"/>
  <c r="AD296" i="22"/>
  <c r="AE296" i="22" s="1"/>
  <c r="AD266" i="22"/>
  <c r="AE266" i="22" s="1"/>
  <c r="AC266" i="22"/>
  <c r="AB266" i="22"/>
  <c r="AC311" i="22"/>
  <c r="AC306" i="22"/>
  <c r="AB306" i="22"/>
  <c r="AD306" i="22"/>
  <c r="AE306" i="22" s="1"/>
  <c r="AC326" i="22"/>
  <c r="AB326" i="22"/>
  <c r="AD326" i="22"/>
  <c r="AE326" i="22" s="1"/>
  <c r="K154" i="17"/>
  <c r="I154" i="17"/>
  <c r="J154" i="17" s="1"/>
  <c r="P153" i="15"/>
  <c r="T153" i="15" s="1"/>
  <c r="O153" i="15"/>
  <c r="N153" i="15"/>
  <c r="L153" i="15"/>
  <c r="V153" i="15" s="1"/>
  <c r="S153" i="15"/>
  <c r="U153" i="15" s="1"/>
  <c r="C154" i="15" s="1"/>
  <c r="M153" i="15"/>
  <c r="R153" i="15"/>
  <c r="Q153" i="15"/>
  <c r="B141" i="8"/>
  <c r="D141" i="8" s="1"/>
  <c r="E141" i="8" s="1"/>
  <c r="F141" i="8" s="1"/>
  <c r="G141" i="8" s="1"/>
  <c r="H141" i="8" s="1"/>
  <c r="W140" i="8"/>
  <c r="X140" i="8" s="1"/>
  <c r="AC325" i="22" l="1"/>
  <c r="AD259" i="22"/>
  <c r="AE259" i="22" s="1"/>
  <c r="AC259" i="22"/>
  <c r="AB213" i="22"/>
  <c r="AC213" i="22"/>
  <c r="AD269" i="22"/>
  <c r="AE269" i="22" s="1"/>
  <c r="AB269" i="22"/>
  <c r="AC245" i="22"/>
  <c r="AC222" i="22"/>
  <c r="AB238" i="22"/>
  <c r="AB263" i="22"/>
  <c r="AC263" i="22"/>
  <c r="AD311" i="22"/>
  <c r="AE311" i="22" s="1"/>
  <c r="AD222" i="22"/>
  <c r="AE222" i="22" s="1"/>
  <c r="AD325" i="22"/>
  <c r="AE325" i="22" s="1"/>
  <c r="AC238" i="22"/>
  <c r="AD254" i="22"/>
  <c r="AE254" i="22" s="1"/>
  <c r="AB245" i="22"/>
  <c r="AB221" i="22"/>
  <c r="AD236" i="22"/>
  <c r="AE236" i="22" s="1"/>
  <c r="AB236" i="22"/>
  <c r="AC218" i="22"/>
  <c r="AB218" i="22"/>
  <c r="AB282" i="22"/>
  <c r="AB252" i="22"/>
  <c r="AD237" i="22"/>
  <c r="AE237" i="22" s="1"/>
  <c r="AC286" i="22"/>
  <c r="AC211" i="22"/>
  <c r="AD211" i="22"/>
  <c r="AE211" i="22" s="1"/>
  <c r="AC254" i="22"/>
  <c r="AC237" i="22"/>
  <c r="AD252" i="22"/>
  <c r="AE252" i="22" s="1"/>
  <c r="AD241" i="22"/>
  <c r="AE241" i="22" s="1"/>
  <c r="AD280" i="22"/>
  <c r="AE280" i="22" s="1"/>
  <c r="AB297" i="22"/>
  <c r="AC297" i="22"/>
  <c r="AC244" i="22"/>
  <c r="AD244" i="22"/>
  <c r="AE244" i="22" s="1"/>
  <c r="AC323" i="22"/>
  <c r="AD323" i="22"/>
  <c r="AE323" i="22" s="1"/>
  <c r="AD318" i="22"/>
  <c r="AE318" i="22" s="1"/>
  <c r="AB305" i="22"/>
  <c r="AC220" i="22"/>
  <c r="AD329" i="22"/>
  <c r="AE329" i="22" s="1"/>
  <c r="AB293" i="22"/>
  <c r="AC300" i="22"/>
  <c r="AB292" i="22"/>
  <c r="AD312" i="22"/>
  <c r="AE312" i="22" s="1"/>
  <c r="AB246" i="22"/>
  <c r="AC246" i="22"/>
  <c r="AB298" i="22"/>
  <c r="AD305" i="22"/>
  <c r="AE305" i="22" s="1"/>
  <c r="AB248" i="22"/>
  <c r="AD276" i="22"/>
  <c r="AE276" i="22" s="1"/>
  <c r="AD220" i="22"/>
  <c r="AE220" i="22" s="1"/>
  <c r="AC248" i="22"/>
  <c r="AB242" i="22"/>
  <c r="AB217" i="22"/>
  <c r="AD242" i="22"/>
  <c r="AE242" i="22" s="1"/>
  <c r="AC315" i="22"/>
  <c r="AC275" i="22"/>
  <c r="AB275" i="22"/>
  <c r="AD315" i="22"/>
  <c r="AE315" i="22" s="1"/>
  <c r="AB228" i="22"/>
  <c r="AC221" i="22"/>
  <c r="AD293" i="22"/>
  <c r="AE293" i="22" s="1"/>
  <c r="AC329" i="22"/>
  <c r="AD228" i="22"/>
  <c r="AE228" i="22" s="1"/>
  <c r="AD217" i="22"/>
  <c r="AE217" i="22" s="1"/>
  <c r="AD314" i="22"/>
  <c r="AE314" i="22" s="1"/>
  <c r="AC277" i="22"/>
  <c r="AC292" i="22"/>
  <c r="AC312" i="22"/>
  <c r="AC234" i="22"/>
  <c r="AC235" i="22"/>
  <c r="AC280" i="22"/>
  <c r="AB285" i="22"/>
  <c r="AD234" i="22"/>
  <c r="AE234" i="22" s="1"/>
  <c r="AB294" i="22"/>
  <c r="AB283" i="22"/>
  <c r="AD255" i="22"/>
  <c r="AE255" i="22" s="1"/>
  <c r="AB314" i="22"/>
  <c r="AC230" i="22"/>
  <c r="AC282" i="22"/>
  <c r="AC227" i="22"/>
  <c r="AC276" i="22"/>
  <c r="AD227" i="22"/>
  <c r="AE227" i="22" s="1"/>
  <c r="AC318" i="22"/>
  <c r="AD258" i="22"/>
  <c r="AE258" i="22" s="1"/>
  <c r="AC258" i="22"/>
  <c r="AC303" i="22"/>
  <c r="AD226" i="22"/>
  <c r="AE226" i="22" s="1"/>
  <c r="AD265" i="22"/>
  <c r="AE265" i="22" s="1"/>
  <c r="AD301" i="22"/>
  <c r="AE301" i="22" s="1"/>
  <c r="AB289" i="22"/>
  <c r="AB303" i="22"/>
  <c r="AC251" i="22"/>
  <c r="AD289" i="22"/>
  <c r="AE289" i="22" s="1"/>
  <c r="AD251" i="22"/>
  <c r="AE251" i="22" s="1"/>
  <c r="AC232" i="22"/>
  <c r="AD277" i="22"/>
  <c r="AE277" i="22" s="1"/>
  <c r="AB268" i="22"/>
  <c r="AC219" i="22"/>
  <c r="AB301" i="22"/>
  <c r="AC268" i="22"/>
  <c r="AD219" i="22"/>
  <c r="AE219" i="22" s="1"/>
  <c r="AC298" i="22"/>
  <c r="AB230" i="22"/>
  <c r="AC307" i="22"/>
  <c r="AB307" i="22"/>
  <c r="AB249" i="22"/>
  <c r="AD262" i="22"/>
  <c r="AE262" i="22" s="1"/>
  <c r="AB273" i="22"/>
  <c r="AB210" i="22"/>
  <c r="AC249" i="22"/>
  <c r="AC262" i="22"/>
  <c r="AC273" i="22"/>
  <c r="AC210" i="22"/>
  <c r="AC271" i="22"/>
  <c r="AD294" i="22"/>
  <c r="AE294" i="22" s="1"/>
  <c r="AB261" i="22"/>
  <c r="AB271" i="22"/>
  <c r="AD215" i="22"/>
  <c r="AE215" i="22" s="1"/>
  <c r="AC261" i="22"/>
  <c r="AB231" i="22"/>
  <c r="AB324" i="22"/>
  <c r="AC215" i="22"/>
  <c r="AC324" i="22"/>
  <c r="AC231" i="22"/>
  <c r="AB300" i="22"/>
  <c r="AD319" i="22"/>
  <c r="AE319" i="22" s="1"/>
  <c r="AB319" i="22"/>
  <c r="AB279" i="22"/>
  <c r="AD308" i="22"/>
  <c r="AE308" i="22" s="1"/>
  <c r="AB308" i="22"/>
  <c r="AB278" i="22"/>
  <c r="AC283" i="22"/>
  <c r="AB235" i="22"/>
  <c r="AD278" i="22"/>
  <c r="AE278" i="22" s="1"/>
  <c r="AB265" i="22"/>
  <c r="AC285" i="22"/>
  <c r="AD232" i="22"/>
  <c r="AE232" i="22" s="1"/>
  <c r="AB255" i="22"/>
  <c r="AC279" i="22"/>
  <c r="AB241" i="22"/>
  <c r="AB286" i="22"/>
  <c r="AB226" i="22"/>
  <c r="AC313" i="22"/>
  <c r="AB225" i="22"/>
  <c r="AC225" i="22"/>
  <c r="AB212" i="22"/>
  <c r="AD291" i="22"/>
  <c r="AE291" i="22" s="1"/>
  <c r="AC212" i="22"/>
  <c r="AC291" i="22"/>
  <c r="AC243" i="22"/>
  <c r="AD243" i="22"/>
  <c r="AE243" i="22" s="1"/>
  <c r="AB313" i="22"/>
  <c r="AD309" i="22"/>
  <c r="AE309" i="22" s="1"/>
  <c r="AB260" i="22"/>
  <c r="AC260" i="22"/>
  <c r="AC295" i="22"/>
  <c r="AB309" i="22"/>
  <c r="AC284" i="22"/>
  <c r="AD250" i="22"/>
  <c r="AE250" i="22" s="1"/>
  <c r="AB250" i="22"/>
  <c r="AC327" i="22"/>
  <c r="AB295" i="22"/>
  <c r="AD284" i="22"/>
  <c r="AE284" i="22" s="1"/>
  <c r="AC239" i="22"/>
  <c r="AC316" i="22"/>
  <c r="AB239" i="22"/>
  <c r="AD316" i="22"/>
  <c r="AE316" i="22" s="1"/>
  <c r="AD247" i="22"/>
  <c r="AE247" i="22" s="1"/>
  <c r="AB274" i="22"/>
  <c r="AC274" i="22"/>
  <c r="AB327" i="22"/>
  <c r="AB247" i="22"/>
  <c r="AD328" i="22"/>
  <c r="AE328" i="22" s="1"/>
  <c r="AB328" i="22"/>
  <c r="AD223" i="22"/>
  <c r="AE223" i="22" s="1"/>
  <c r="AD214" i="22"/>
  <c r="AE214" i="22" s="1"/>
  <c r="AB223" i="22"/>
  <c r="AC257" i="22"/>
  <c r="AC216" i="22"/>
  <c r="AD257" i="22"/>
  <c r="AE257" i="22" s="1"/>
  <c r="AD216" i="22"/>
  <c r="AE216" i="22" s="1"/>
  <c r="AB270" i="22"/>
  <c r="AD270" i="22"/>
  <c r="AE270" i="22" s="1"/>
  <c r="AB214" i="22"/>
  <c r="AC302" i="22"/>
  <c r="AD310" i="22"/>
  <c r="AE310" i="22" s="1"/>
  <c r="AD302" i="22"/>
  <c r="AE302" i="22" s="1"/>
  <c r="AC310" i="22"/>
  <c r="AD299" i="22"/>
  <c r="AE299" i="22" s="1"/>
  <c r="AB299" i="22"/>
  <c r="AB281" i="22"/>
  <c r="AC281" i="22"/>
  <c r="AC304" i="22"/>
  <c r="AD267" i="22"/>
  <c r="AE267" i="22" s="1"/>
  <c r="AB267" i="22"/>
  <c r="AD264" i="22"/>
  <c r="AE264" i="22" s="1"/>
  <c r="AB264" i="22"/>
  <c r="AC321" i="22"/>
  <c r="AD321" i="22"/>
  <c r="AE321" i="22" s="1"/>
  <c r="AC240" i="22"/>
  <c r="AB256" i="22"/>
  <c r="AC256" i="22"/>
  <c r="AD240" i="22"/>
  <c r="AE240" i="22" s="1"/>
  <c r="AB233" i="22"/>
  <c r="AB287" i="22"/>
  <c r="AC287" i="22"/>
  <c r="AD272" i="22"/>
  <c r="AE272" i="22" s="1"/>
  <c r="AC288" i="22"/>
  <c r="AC229" i="22"/>
  <c r="AB229" i="22"/>
  <c r="AC224" i="22"/>
  <c r="AD233" i="22"/>
  <c r="AE233" i="22" s="1"/>
  <c r="AD288" i="22"/>
  <c r="AE288" i="22" s="1"/>
  <c r="AB320" i="22"/>
  <c r="AD253" i="22"/>
  <c r="AE253" i="22" s="1"/>
  <c r="AB253" i="22"/>
  <c r="AD322" i="22"/>
  <c r="AE322" i="22" s="1"/>
  <c r="AB317" i="22"/>
  <c r="AD224" i="22"/>
  <c r="AE224" i="22" s="1"/>
  <c r="AD320" i="22"/>
  <c r="AE320" i="22" s="1"/>
  <c r="AC290" i="22"/>
  <c r="AC322" i="22"/>
  <c r="AD290" i="22"/>
  <c r="AE290" i="22" s="1"/>
  <c r="AD317" i="22"/>
  <c r="AE317" i="22" s="1"/>
  <c r="AB304" i="22"/>
  <c r="AB272" i="22"/>
  <c r="N154" i="17"/>
  <c r="L154" i="17"/>
  <c r="V154" i="17" s="1"/>
  <c r="P154" i="17"/>
  <c r="T154" i="17" s="1"/>
  <c r="O154" i="17"/>
  <c r="M154" i="17"/>
  <c r="R154" i="17"/>
  <c r="Q154" i="17"/>
  <c r="S154" i="17"/>
  <c r="U154" i="17" s="1"/>
  <c r="B154" i="15"/>
  <c r="D154" i="15" s="1"/>
  <c r="E154" i="15" s="1"/>
  <c r="F154" i="15" s="1"/>
  <c r="W153" i="15"/>
  <c r="X153" i="15" s="1"/>
  <c r="I141" i="8"/>
  <c r="J141" i="8" s="1"/>
  <c r="K141" i="8"/>
  <c r="W154" i="17" l="1"/>
  <c r="X154" i="17" s="1"/>
  <c r="A359" i="17" s="1"/>
  <c r="G154" i="15"/>
  <c r="Q141" i="8"/>
  <c r="M141" i="8"/>
  <c r="S141" i="8"/>
  <c r="U141" i="8" s="1"/>
  <c r="C142" i="8" s="1"/>
  <c r="R141" i="8"/>
  <c r="L141" i="8"/>
  <c r="O141" i="8"/>
  <c r="N141" i="8"/>
  <c r="AA213" i="17" l="1"/>
  <c r="AD213" i="17" s="1"/>
  <c r="AE213" i="17" s="1"/>
  <c r="AA224" i="17"/>
  <c r="AC224" i="17" s="1"/>
  <c r="AA259" i="17"/>
  <c r="AC259" i="17" s="1"/>
  <c r="AA293" i="17"/>
  <c r="AB293" i="17" s="1"/>
  <c r="AA264" i="17"/>
  <c r="AD264" i="17" s="1"/>
  <c r="AE264" i="17" s="1"/>
  <c r="AA284" i="17"/>
  <c r="AD284" i="17" s="1"/>
  <c r="AE284" i="17" s="1"/>
  <c r="AA297" i="17"/>
  <c r="AB297" i="17" s="1"/>
  <c r="AA238" i="17"/>
  <c r="AC238" i="17" s="1"/>
  <c r="AA235" i="17"/>
  <c r="AD235" i="17" s="1"/>
  <c r="AE235" i="17" s="1"/>
  <c r="AA239" i="17"/>
  <c r="AC239" i="17" s="1"/>
  <c r="AA272" i="17"/>
  <c r="AC272" i="17" s="1"/>
  <c r="AA286" i="17"/>
  <c r="AC286" i="17" s="1"/>
  <c r="AA309" i="17"/>
  <c r="AC309" i="17" s="1"/>
  <c r="AA313" i="17"/>
  <c r="AD313" i="17" s="1"/>
  <c r="AE313" i="17" s="1"/>
  <c r="AA318" i="17"/>
  <c r="AB318" i="17" s="1"/>
  <c r="AA290" i="17"/>
  <c r="AC290" i="17" s="1"/>
  <c r="AA280" i="17"/>
  <c r="AB280" i="17" s="1"/>
  <c r="AA249" i="17"/>
  <c r="AD249" i="17" s="1"/>
  <c r="AE249" i="17" s="1"/>
  <c r="AA253" i="17"/>
  <c r="AD253" i="17" s="1"/>
  <c r="AE253" i="17" s="1"/>
  <c r="AA217" i="17"/>
  <c r="AB217" i="17" s="1"/>
  <c r="AA328" i="17"/>
  <c r="AC328" i="17" s="1"/>
  <c r="AA294" i="17"/>
  <c r="AB294" i="17" s="1"/>
  <c r="AA288" i="17"/>
  <c r="AD288" i="17" s="1"/>
  <c r="AE288" i="17" s="1"/>
  <c r="AA255" i="17"/>
  <c r="AB255" i="17" s="1"/>
  <c r="AA246" i="17"/>
  <c r="AB246" i="17" s="1"/>
  <c r="AA316" i="17"/>
  <c r="AD316" i="17" s="1"/>
  <c r="AE316" i="17" s="1"/>
  <c r="AA312" i="17"/>
  <c r="AB312" i="17" s="1"/>
  <c r="AA233" i="17"/>
  <c r="AB233" i="17" s="1"/>
  <c r="AA302" i="17"/>
  <c r="AC302" i="17" s="1"/>
  <c r="AA262" i="17"/>
  <c r="AD262" i="17" s="1"/>
  <c r="AE262" i="17" s="1"/>
  <c r="AA326" i="17"/>
  <c r="AB326" i="17" s="1"/>
  <c r="AA306" i="17"/>
  <c r="AD306" i="17" s="1"/>
  <c r="AE306" i="17" s="1"/>
  <c r="AA227" i="17"/>
  <c r="AB227" i="17" s="1"/>
  <c r="AA216" i="17"/>
  <c r="AC216" i="17" s="1"/>
  <c r="AA211" i="17"/>
  <c r="AD211" i="17" s="1"/>
  <c r="AE211" i="17" s="1"/>
  <c r="AA310" i="17"/>
  <c r="AB310" i="17" s="1"/>
  <c r="AA283" i="17"/>
  <c r="AD283" i="17" s="1"/>
  <c r="AE283" i="17" s="1"/>
  <c r="AA268" i="17"/>
  <c r="AC268" i="17" s="1"/>
  <c r="AA220" i="17"/>
  <c r="AC220" i="17" s="1"/>
  <c r="AA315" i="17"/>
  <c r="AD315" i="17" s="1"/>
  <c r="AE315" i="17" s="1"/>
  <c r="AA287" i="17"/>
  <c r="AB287" i="17" s="1"/>
  <c r="AA277" i="17"/>
  <c r="AD277" i="17" s="1"/>
  <c r="AE277" i="17" s="1"/>
  <c r="AA232" i="17"/>
  <c r="AD232" i="17" s="1"/>
  <c r="AE232" i="17" s="1"/>
  <c r="AA281" i="17"/>
  <c r="AC281" i="17" s="1"/>
  <c r="AA236" i="17"/>
  <c r="AD236" i="17" s="1"/>
  <c r="AE236" i="17" s="1"/>
  <c r="AA242" i="17"/>
  <c r="AC242" i="17" s="1"/>
  <c r="AA275" i="17"/>
  <c r="AD275" i="17" s="1"/>
  <c r="AE275" i="17" s="1"/>
  <c r="AA322" i="17"/>
  <c r="AD322" i="17" s="1"/>
  <c r="AE322" i="17" s="1"/>
  <c r="AA229" i="17"/>
  <c r="AD229" i="17" s="1"/>
  <c r="AE229" i="17" s="1"/>
  <c r="AA254" i="17"/>
  <c r="AD254" i="17" s="1"/>
  <c r="AE254" i="17" s="1"/>
  <c r="AA271" i="17"/>
  <c r="AD271" i="17" s="1"/>
  <c r="AE271" i="17" s="1"/>
  <c r="AA301" i="17"/>
  <c r="AC301" i="17" s="1"/>
  <c r="AA258" i="17"/>
  <c r="AC258" i="17" s="1"/>
  <c r="AA285" i="17"/>
  <c r="AD285" i="17" s="1"/>
  <c r="AE285" i="17" s="1"/>
  <c r="AA296" i="17"/>
  <c r="AC296" i="17" s="1"/>
  <c r="AA320" i="17"/>
  <c r="AD320" i="17" s="1"/>
  <c r="AE320" i="17" s="1"/>
  <c r="AA221" i="17"/>
  <c r="AD221" i="17" s="1"/>
  <c r="AE221" i="17" s="1"/>
  <c r="AA267" i="17"/>
  <c r="AD267" i="17" s="1"/>
  <c r="AE267" i="17" s="1"/>
  <c r="AA319" i="17"/>
  <c r="AD319" i="17" s="1"/>
  <c r="AE319" i="17" s="1"/>
  <c r="AA291" i="17"/>
  <c r="AD291" i="17" s="1"/>
  <c r="AE291" i="17" s="1"/>
  <c r="AA237" i="17"/>
  <c r="AD237" i="17" s="1"/>
  <c r="AE237" i="17" s="1"/>
  <c r="AA251" i="17"/>
  <c r="AD251" i="17" s="1"/>
  <c r="AE251" i="17" s="1"/>
  <c r="AA245" i="17"/>
  <c r="AC245" i="17" s="1"/>
  <c r="AA317" i="17"/>
  <c r="AD317" i="17" s="1"/>
  <c r="AE317" i="17" s="1"/>
  <c r="AA230" i="17"/>
  <c r="AD230" i="17" s="1"/>
  <c r="AE230" i="17" s="1"/>
  <c r="AA300" i="17"/>
  <c r="AC300" i="17" s="1"/>
  <c r="AA256" i="17"/>
  <c r="AC256" i="17" s="1"/>
  <c r="AA240" i="17"/>
  <c r="AD240" i="17" s="1"/>
  <c r="AE240" i="17" s="1"/>
  <c r="AA314" i="17"/>
  <c r="AD314" i="17" s="1"/>
  <c r="AE314" i="17" s="1"/>
  <c r="AA323" i="17"/>
  <c r="AD323" i="17" s="1"/>
  <c r="AE323" i="17" s="1"/>
  <c r="AA261" i="17"/>
  <c r="AD261" i="17" s="1"/>
  <c r="AE261" i="17" s="1"/>
  <c r="AA215" i="17"/>
  <c r="AC215" i="17" s="1"/>
  <c r="AA265" i="17"/>
  <c r="AD265" i="17" s="1"/>
  <c r="AE265" i="17" s="1"/>
  <c r="AA231" i="17"/>
  <c r="AD231" i="17" s="1"/>
  <c r="AE231" i="17" s="1"/>
  <c r="AA269" i="17"/>
  <c r="AB269" i="17" s="1"/>
  <c r="AA247" i="17"/>
  <c r="AC247" i="17" s="1"/>
  <c r="AA325" i="17"/>
  <c r="AD325" i="17" s="1"/>
  <c r="AE325" i="17" s="1"/>
  <c r="AA263" i="17"/>
  <c r="AC263" i="17" s="1"/>
  <c r="AA222" i="17"/>
  <c r="AC222" i="17" s="1"/>
  <c r="AA329" i="17"/>
  <c r="AD329" i="17" s="1"/>
  <c r="AE329" i="17" s="1"/>
  <c r="AA279" i="17"/>
  <c r="AB279" i="17" s="1"/>
  <c r="AA226" i="17"/>
  <c r="AD226" i="17" s="1"/>
  <c r="AE226" i="17" s="1"/>
  <c r="AA210" i="17"/>
  <c r="AC210" i="17" s="1"/>
  <c r="AA295" i="17"/>
  <c r="AB295" i="17" s="1"/>
  <c r="AA311" i="17"/>
  <c r="AC311" i="17" s="1"/>
  <c r="AA327" i="17"/>
  <c r="AD327" i="17" s="1"/>
  <c r="AE327" i="17" s="1"/>
  <c r="AA304" i="17"/>
  <c r="AB304" i="17" s="1"/>
  <c r="AA212" i="17"/>
  <c r="AB212" i="17" s="1"/>
  <c r="AA243" i="17"/>
  <c r="AB243" i="17" s="1"/>
  <c r="AA214" i="17"/>
  <c r="AB214" i="17" s="1"/>
  <c r="AA218" i="17"/>
  <c r="AD218" i="17" s="1"/>
  <c r="AE218" i="17" s="1"/>
  <c r="AA228" i="17"/>
  <c r="AC228" i="17" s="1"/>
  <c r="AA299" i="17"/>
  <c r="AC299" i="17" s="1"/>
  <c r="AA270" i="17"/>
  <c r="AC270" i="17" s="1"/>
  <c r="AA234" i="17"/>
  <c r="AD234" i="17" s="1"/>
  <c r="AE234" i="17" s="1"/>
  <c r="AA244" i="17"/>
  <c r="AB244" i="17" s="1"/>
  <c r="AA303" i="17"/>
  <c r="AC303" i="17" s="1"/>
  <c r="AA274" i="17"/>
  <c r="AB274" i="17" s="1"/>
  <c r="AA250" i="17"/>
  <c r="AC250" i="17" s="1"/>
  <c r="AA260" i="17"/>
  <c r="AD260" i="17" s="1"/>
  <c r="AE260" i="17" s="1"/>
  <c r="AA307" i="17"/>
  <c r="AD307" i="17" s="1"/>
  <c r="AE307" i="17" s="1"/>
  <c r="AA278" i="17"/>
  <c r="AB278" i="17" s="1"/>
  <c r="AA266" i="17"/>
  <c r="AC266" i="17" s="1"/>
  <c r="AA276" i="17"/>
  <c r="AD276" i="17" s="1"/>
  <c r="AE276" i="17" s="1"/>
  <c r="AA248" i="17"/>
  <c r="AD248" i="17" s="1"/>
  <c r="AE248" i="17" s="1"/>
  <c r="AA219" i="17"/>
  <c r="AD219" i="17" s="1"/>
  <c r="AE219" i="17" s="1"/>
  <c r="AA282" i="17"/>
  <c r="AD282" i="17" s="1"/>
  <c r="AE282" i="17" s="1"/>
  <c r="AA292" i="17"/>
  <c r="AD292" i="17" s="1"/>
  <c r="AE292" i="17" s="1"/>
  <c r="AA252" i="17"/>
  <c r="AD252" i="17" s="1"/>
  <c r="AE252" i="17" s="1"/>
  <c r="AA223" i="17"/>
  <c r="AB223" i="17" s="1"/>
  <c r="AA298" i="17"/>
  <c r="AC298" i="17" s="1"/>
  <c r="AA308" i="17"/>
  <c r="AD308" i="17" s="1"/>
  <c r="AE308" i="17" s="1"/>
  <c r="AA324" i="17"/>
  <c r="AB324" i="17" s="1"/>
  <c r="A358" i="17"/>
  <c r="AA225" i="17"/>
  <c r="AB225" i="17" s="1"/>
  <c r="AA241" i="17"/>
  <c r="AD241" i="17" s="1"/>
  <c r="AE241" i="17" s="1"/>
  <c r="AA273" i="17"/>
  <c r="AD273" i="17" s="1"/>
  <c r="AE273" i="17" s="1"/>
  <c r="AA257" i="17"/>
  <c r="AD257" i="17" s="1"/>
  <c r="AE257" i="17" s="1"/>
  <c r="AA289" i="17"/>
  <c r="AD289" i="17" s="1"/>
  <c r="AE289" i="17" s="1"/>
  <c r="AA321" i="17"/>
  <c r="AD321" i="17" s="1"/>
  <c r="AE321" i="17" s="1"/>
  <c r="AA305" i="17"/>
  <c r="AD305" i="17" s="1"/>
  <c r="AE305" i="17" s="1"/>
  <c r="H154" i="15"/>
  <c r="V141" i="8"/>
  <c r="P141" i="8"/>
  <c r="T141" i="8" s="1"/>
  <c r="AB259" i="17" l="1"/>
  <c r="AD259" i="17"/>
  <c r="AE259" i="17" s="1"/>
  <c r="AB264" i="17"/>
  <c r="AB224" i="17"/>
  <c r="AD224" i="17"/>
  <c r="AE224" i="17" s="1"/>
  <c r="AB213" i="17"/>
  <c r="AC213" i="17"/>
  <c r="AB284" i="17"/>
  <c r="AC284" i="17"/>
  <c r="AC316" i="17"/>
  <c r="AC264" i="17"/>
  <c r="AB316" i="17"/>
  <c r="AD238" i="17"/>
  <c r="AE238" i="17" s="1"/>
  <c r="AD272" i="17"/>
  <c r="AE272" i="17" s="1"/>
  <c r="AC297" i="17"/>
  <c r="AD297" i="17"/>
  <c r="AE297" i="17" s="1"/>
  <c r="AC235" i="17"/>
  <c r="AC293" i="17"/>
  <c r="AB235" i="17"/>
  <c r="AB267" i="17"/>
  <c r="AB265" i="17"/>
  <c r="AD239" i="17"/>
  <c r="AE239" i="17" s="1"/>
  <c r="AC214" i="17"/>
  <c r="AD293" i="17"/>
  <c r="AE293" i="17" s="1"/>
  <c r="AC246" i="17"/>
  <c r="AC265" i="17"/>
  <c r="AD246" i="17"/>
  <c r="AE246" i="17" s="1"/>
  <c r="AB238" i="17"/>
  <c r="AC267" i="17"/>
  <c r="AB239" i="17"/>
  <c r="AC269" i="17"/>
  <c r="AB317" i="17"/>
  <c r="AB319" i="17"/>
  <c r="AC243" i="17"/>
  <c r="AB277" i="17"/>
  <c r="AD243" i="17"/>
  <c r="AE243" i="17" s="1"/>
  <c r="AC277" i="17"/>
  <c r="AD269" i="17"/>
  <c r="AE269" i="17" s="1"/>
  <c r="AB281" i="17"/>
  <c r="AD281" i="17"/>
  <c r="AE281" i="17" s="1"/>
  <c r="AB251" i="17"/>
  <c r="AC251" i="17"/>
  <c r="AB236" i="17"/>
  <c r="AD286" i="17"/>
  <c r="AE286" i="17" s="1"/>
  <c r="AC233" i="17"/>
  <c r="AB309" i="17"/>
  <c r="AD302" i="17"/>
  <c r="AE302" i="17" s="1"/>
  <c r="AD309" i="17"/>
  <c r="AE309" i="17" s="1"/>
  <c r="AB275" i="17"/>
  <c r="AC275" i="17"/>
  <c r="AB305" i="17"/>
  <c r="AB262" i="17"/>
  <c r="AD233" i="17"/>
  <c r="AE233" i="17" s="1"/>
  <c r="AB231" i="17"/>
  <c r="AC231" i="17"/>
  <c r="AC312" i="17"/>
  <c r="AC262" i="17"/>
  <c r="AC305" i="17"/>
  <c r="AB299" i="17"/>
  <c r="AB272" i="17"/>
  <c r="AD312" i="17"/>
  <c r="AE312" i="17" s="1"/>
  <c r="AD214" i="17"/>
  <c r="AE214" i="17" s="1"/>
  <c r="AC326" i="17"/>
  <c r="AD326" i="17"/>
  <c r="AE326" i="17" s="1"/>
  <c r="AC317" i="17"/>
  <c r="AD299" i="17"/>
  <c r="AE299" i="17" s="1"/>
  <c r="AB313" i="17"/>
  <c r="AD290" i="17"/>
  <c r="AE290" i="17" s="1"/>
  <c r="AC313" i="17"/>
  <c r="AD280" i="17"/>
  <c r="AE280" i="17" s="1"/>
  <c r="AC236" i="17"/>
  <c r="AC306" i="17"/>
  <c r="AB245" i="17"/>
  <c r="AB306" i="17"/>
  <c r="AB237" i="17"/>
  <c r="AC319" i="17"/>
  <c r="AD242" i="17"/>
  <c r="AE242" i="17" s="1"/>
  <c r="AC291" i="17"/>
  <c r="AC287" i="17"/>
  <c r="AB232" i="17"/>
  <c r="AB221" i="17"/>
  <c r="AD245" i="17"/>
  <c r="AE245" i="17" s="1"/>
  <c r="AD263" i="17"/>
  <c r="AE263" i="17" s="1"/>
  <c r="AB248" i="17"/>
  <c r="AB302" i="17"/>
  <c r="AB291" i="17"/>
  <c r="AB286" i="17"/>
  <c r="AD287" i="17"/>
  <c r="AE287" i="17" s="1"/>
  <c r="AC232" i="17"/>
  <c r="AC221" i="17"/>
  <c r="AB242" i="17"/>
  <c r="AB263" i="17"/>
  <c r="AC237" i="17"/>
  <c r="AC318" i="17"/>
  <c r="AB290" i="17"/>
  <c r="AD318" i="17"/>
  <c r="AE318" i="17" s="1"/>
  <c r="AC229" i="17"/>
  <c r="AC280" i="17"/>
  <c r="AC271" i="17"/>
  <c r="AD210" i="17"/>
  <c r="AE210" i="17" s="1"/>
  <c r="AB322" i="17"/>
  <c r="AB271" i="17"/>
  <c r="AD227" i="17"/>
  <c r="AE227" i="17" s="1"/>
  <c r="AC219" i="17"/>
  <c r="AB229" i="17"/>
  <c r="AB219" i="17"/>
  <c r="AC322" i="17"/>
  <c r="AB218" i="17"/>
  <c r="AC254" i="17"/>
  <c r="AB216" i="17"/>
  <c r="AB283" i="17"/>
  <c r="AC327" i="17"/>
  <c r="AD328" i="17"/>
  <c r="AE328" i="17" s="1"/>
  <c r="AC294" i="17"/>
  <c r="AC227" i="17"/>
  <c r="AD294" i="17"/>
  <c r="AE294" i="17" s="1"/>
  <c r="AC283" i="17"/>
  <c r="AC310" i="17"/>
  <c r="AD258" i="17"/>
  <c r="AE258" i="17" s="1"/>
  <c r="AD310" i="17"/>
  <c r="AE310" i="17" s="1"/>
  <c r="AD301" i="17"/>
  <c r="AE301" i="17" s="1"/>
  <c r="AB258" i="17"/>
  <c r="AB230" i="17"/>
  <c r="AC249" i="17"/>
  <c r="AC230" i="17"/>
  <c r="AD311" i="17"/>
  <c r="AE311" i="17" s="1"/>
  <c r="AB249" i="17"/>
  <c r="AB311" i="17"/>
  <c r="AB285" i="17"/>
  <c r="AB328" i="17"/>
  <c r="AC285" i="17"/>
  <c r="AB314" i="17"/>
  <c r="AC255" i="17"/>
  <c r="AB289" i="17"/>
  <c r="AC288" i="17"/>
  <c r="AB296" i="17"/>
  <c r="AD296" i="17"/>
  <c r="AE296" i="17" s="1"/>
  <c r="AC323" i="17"/>
  <c r="AD256" i="17"/>
  <c r="AE256" i="17" s="1"/>
  <c r="AC217" i="17"/>
  <c r="AD268" i="17"/>
  <c r="AE268" i="17" s="1"/>
  <c r="AB261" i="17"/>
  <c r="AD255" i="17"/>
  <c r="AE255" i="17" s="1"/>
  <c r="AC278" i="17"/>
  <c r="AD217" i="17"/>
  <c r="AE217" i="17" s="1"/>
  <c r="AB301" i="17"/>
  <c r="AB210" i="17"/>
  <c r="AB321" i="17"/>
  <c r="AB253" i="17"/>
  <c r="AB315" i="17"/>
  <c r="AC248" i="17"/>
  <c r="AB215" i="17"/>
  <c r="AC304" i="17"/>
  <c r="AC261" i="17"/>
  <c r="AC321" i="17"/>
  <c r="AC289" i="17"/>
  <c r="AC253" i="17"/>
  <c r="AC315" i="17"/>
  <c r="AB220" i="17"/>
  <c r="AD220" i="17"/>
  <c r="AE220" i="17" s="1"/>
  <c r="AD295" i="17"/>
  <c r="AE295" i="17" s="1"/>
  <c r="AB320" i="17"/>
  <c r="AB288" i="17"/>
  <c r="AB300" i="17"/>
  <c r="AC295" i="17"/>
  <c r="AB254" i="17"/>
  <c r="AC320" i="17"/>
  <c r="AD216" i="17"/>
  <c r="AE216" i="17" s="1"/>
  <c r="AB211" i="17"/>
  <c r="AD304" i="17"/>
  <c r="AE304" i="17" s="1"/>
  <c r="AD300" i="17"/>
  <c r="AE300" i="17" s="1"/>
  <c r="AB240" i="17"/>
  <c r="AB256" i="17"/>
  <c r="AB268" i="17"/>
  <c r="AC211" i="17"/>
  <c r="AC240" i="17"/>
  <c r="AB266" i="17"/>
  <c r="AD266" i="17"/>
  <c r="AE266" i="17" s="1"/>
  <c r="AC218" i="17"/>
  <c r="AB292" i="17"/>
  <c r="AD215" i="17"/>
  <c r="AE215" i="17" s="1"/>
  <c r="AB325" i="17"/>
  <c r="AC325" i="17"/>
  <c r="AD222" i="17"/>
  <c r="AE222" i="17" s="1"/>
  <c r="AD212" i="17"/>
  <c r="AE212" i="17" s="1"/>
  <c r="AC212" i="17"/>
  <c r="AC276" i="17"/>
  <c r="AB276" i="17"/>
  <c r="AB257" i="17"/>
  <c r="AB222" i="17"/>
  <c r="AC257" i="17"/>
  <c r="AC279" i="17"/>
  <c r="AD247" i="17"/>
  <c r="AE247" i="17" s="1"/>
  <c r="AB247" i="17"/>
  <c r="AB327" i="17"/>
  <c r="AB323" i="17"/>
  <c r="AC292" i="17"/>
  <c r="AD278" i="17"/>
  <c r="AE278" i="17" s="1"/>
  <c r="AC314" i="17"/>
  <c r="AC329" i="17"/>
  <c r="AD228" i="17"/>
  <c r="AE228" i="17" s="1"/>
  <c r="AB329" i="17"/>
  <c r="AB228" i="17"/>
  <c r="AB298" i="17"/>
  <c r="AD298" i="17"/>
  <c r="AE298" i="17" s="1"/>
  <c r="AB226" i="17"/>
  <c r="AC226" i="17"/>
  <c r="AD279" i="17"/>
  <c r="AE279" i="17" s="1"/>
  <c r="AB303" i="17"/>
  <c r="AC223" i="17"/>
  <c r="AB282" i="17"/>
  <c r="AD223" i="17"/>
  <c r="AE223" i="17" s="1"/>
  <c r="AD270" i="17"/>
  <c r="AE270" i="17" s="1"/>
  <c r="AD274" i="17"/>
  <c r="AE274" i="17" s="1"/>
  <c r="AB270" i="17"/>
  <c r="AC308" i="17"/>
  <c r="AC282" i="17"/>
  <c r="AB252" i="17"/>
  <c r="AC274" i="17"/>
  <c r="AD303" i="17"/>
  <c r="AE303" i="17" s="1"/>
  <c r="AC252" i="17"/>
  <c r="AB250" i="17"/>
  <c r="AB307" i="17"/>
  <c r="AD250" i="17"/>
  <c r="AE250" i="17" s="1"/>
  <c r="AC244" i="17"/>
  <c r="AC260" i="17"/>
  <c r="AD244" i="17"/>
  <c r="AE244" i="17" s="1"/>
  <c r="AC225" i="17"/>
  <c r="AB260" i="17"/>
  <c r="AC307" i="17"/>
  <c r="AD225" i="17"/>
  <c r="AE225" i="17" s="1"/>
  <c r="AC324" i="17"/>
  <c r="AB308" i="17"/>
  <c r="AB234" i="17"/>
  <c r="AD324" i="17"/>
  <c r="AE324" i="17" s="1"/>
  <c r="AC234" i="17"/>
  <c r="AB273" i="17"/>
  <c r="AB241" i="17"/>
  <c r="AC273" i="17"/>
  <c r="AC241" i="17"/>
  <c r="K154" i="15"/>
  <c r="I154" i="15"/>
  <c r="J154" i="15" s="1"/>
  <c r="B142" i="8"/>
  <c r="D142" i="8" s="1"/>
  <c r="E142" i="8" s="1"/>
  <c r="F142" i="8" s="1"/>
  <c r="G142" i="8" s="1"/>
  <c r="H142" i="8" s="1"/>
  <c r="W141" i="8"/>
  <c r="X141" i="8" s="1"/>
  <c r="N154" i="15" l="1"/>
  <c r="L154" i="15"/>
  <c r="V154" i="15" s="1"/>
  <c r="O154" i="15"/>
  <c r="P154" i="15"/>
  <c r="T154" i="15" s="1"/>
  <c r="M154" i="15"/>
  <c r="S154" i="15"/>
  <c r="U154" i="15" s="1"/>
  <c r="R154" i="15"/>
  <c r="Q154" i="15"/>
  <c r="K142" i="8"/>
  <c r="I142" i="8"/>
  <c r="J142" i="8" s="1"/>
  <c r="W154" i="15" l="1"/>
  <c r="X154" i="15" s="1"/>
  <c r="O142" i="8"/>
  <c r="L142" i="8"/>
  <c r="N142" i="8"/>
  <c r="S142" i="8"/>
  <c r="U142" i="8" s="1"/>
  <c r="C143" i="8" s="1"/>
  <c r="Q142" i="8"/>
  <c r="M142" i="8"/>
  <c r="R142" i="8"/>
  <c r="A359" i="15" l="1"/>
  <c r="AA321" i="15"/>
  <c r="AA305" i="15"/>
  <c r="AA289" i="15"/>
  <c r="AA273" i="15"/>
  <c r="AA257" i="15"/>
  <c r="AA241" i="15"/>
  <c r="AA225" i="15"/>
  <c r="A358" i="15"/>
  <c r="AA324" i="15"/>
  <c r="AA308" i="15"/>
  <c r="AA292" i="15"/>
  <c r="AA276" i="15"/>
  <c r="AA260" i="15"/>
  <c r="AA244" i="15"/>
  <c r="AA228" i="15"/>
  <c r="AA212" i="15"/>
  <c r="AA327" i="15"/>
  <c r="AA311" i="15"/>
  <c r="AA295" i="15"/>
  <c r="AA279" i="15"/>
  <c r="AA263" i="15"/>
  <c r="AA247" i="15"/>
  <c r="AA231" i="15"/>
  <c r="AA215" i="15"/>
  <c r="AA314" i="15"/>
  <c r="AA298" i="15"/>
  <c r="AA317" i="15"/>
  <c r="AA301" i="15"/>
  <c r="AA285" i="15"/>
  <c r="AA269" i="15"/>
  <c r="AA253" i="15"/>
  <c r="AA237" i="15"/>
  <c r="AA221" i="15"/>
  <c r="AA320" i="15"/>
  <c r="AA304" i="15"/>
  <c r="AA288" i="15"/>
  <c r="AA272" i="15"/>
  <c r="AA256" i="15"/>
  <c r="AA294" i="15"/>
  <c r="AA271" i="15"/>
  <c r="AA248" i="15"/>
  <c r="AA243" i="15"/>
  <c r="AA239" i="15"/>
  <c r="AA235" i="15"/>
  <c r="AA325" i="15"/>
  <c r="AA315" i="15"/>
  <c r="AA275" i="15"/>
  <c r="AA266" i="15"/>
  <c r="AA252" i="15"/>
  <c r="AA230" i="15"/>
  <c r="AA226" i="15"/>
  <c r="AA222" i="15"/>
  <c r="AA280" i="15"/>
  <c r="AA234" i="15"/>
  <c r="AA217" i="15"/>
  <c r="AA213" i="15"/>
  <c r="AA329" i="15"/>
  <c r="AA319" i="15"/>
  <c r="AA309" i="15"/>
  <c r="AA299" i="15"/>
  <c r="AA284" i="15"/>
  <c r="AA261" i="15"/>
  <c r="AA265" i="15"/>
  <c r="AA323" i="15"/>
  <c r="AA313" i="15"/>
  <c r="AA303" i="15"/>
  <c r="AA293" i="15"/>
  <c r="AA270" i="15"/>
  <c r="AA246" i="15"/>
  <c r="AA242" i="15"/>
  <c r="AA238" i="15"/>
  <c r="AA307" i="15"/>
  <c r="AA297" i="15"/>
  <c r="AA328" i="15"/>
  <c r="AA318" i="15"/>
  <c r="AA250" i="15"/>
  <c r="AA287" i="15"/>
  <c r="AA258" i="15"/>
  <c r="AA236" i="15"/>
  <c r="AA316" i="15"/>
  <c r="AA306" i="15"/>
  <c r="AA296" i="15"/>
  <c r="AA278" i="15"/>
  <c r="AA264" i="15"/>
  <c r="AA249" i="15"/>
  <c r="AA326" i="15"/>
  <c r="AA255" i="15"/>
  <c r="AA220" i="15"/>
  <c r="AA214" i="15"/>
  <c r="AA286" i="15"/>
  <c r="AA233" i="15"/>
  <c r="AA227" i="15"/>
  <c r="AA240" i="15"/>
  <c r="AA312" i="15"/>
  <c r="AA302" i="15"/>
  <c r="AA277" i="15"/>
  <c r="AA262" i="15"/>
  <c r="AA322" i="15"/>
  <c r="AA291" i="15"/>
  <c r="AA274" i="15"/>
  <c r="AA254" i="15"/>
  <c r="AA223" i="15"/>
  <c r="AA281" i="15"/>
  <c r="AA219" i="15"/>
  <c r="AA259" i="15"/>
  <c r="AA268" i="15"/>
  <c r="AA251" i="15"/>
  <c r="AA218" i="15"/>
  <c r="AA232" i="15"/>
  <c r="AA290" i="15"/>
  <c r="AA216" i="15"/>
  <c r="AA310" i="15"/>
  <c r="AA283" i="15"/>
  <c r="AA245" i="15"/>
  <c r="AA267" i="15"/>
  <c r="AA224" i="15"/>
  <c r="AA282" i="15"/>
  <c r="AA229" i="15"/>
  <c r="AA211" i="15"/>
  <c r="AA300" i="15"/>
  <c r="AA210" i="15"/>
  <c r="V142" i="8"/>
  <c r="P142" i="8"/>
  <c r="T142" i="8" s="1"/>
  <c r="AB228" i="15" l="1"/>
  <c r="AD228" i="15"/>
  <c r="AE228" i="15" s="1"/>
  <c r="AC228" i="15"/>
  <c r="AB244" i="15"/>
  <c r="AC244" i="15"/>
  <c r="AD244" i="15"/>
  <c r="AE244" i="15" s="1"/>
  <c r="AB260" i="15"/>
  <c r="AD260" i="15"/>
  <c r="AE260" i="15" s="1"/>
  <c r="AC260" i="15"/>
  <c r="AD216" i="15"/>
  <c r="AE216" i="15" s="1"/>
  <c r="AC216" i="15"/>
  <c r="AB216" i="15"/>
  <c r="AD269" i="15"/>
  <c r="AE269" i="15" s="1"/>
  <c r="AC269" i="15"/>
  <c r="AB269" i="15"/>
  <c r="AD299" i="15"/>
  <c r="AE299" i="15" s="1"/>
  <c r="AC299" i="15"/>
  <c r="AB299" i="15"/>
  <c r="AD251" i="15"/>
  <c r="AE251" i="15" s="1"/>
  <c r="AC251" i="15"/>
  <c r="AB251" i="15"/>
  <c r="AD318" i="15"/>
  <c r="AE318" i="15" s="1"/>
  <c r="AC318" i="15"/>
  <c r="AB318" i="15"/>
  <c r="AD309" i="15"/>
  <c r="AE309" i="15" s="1"/>
  <c r="AC309" i="15"/>
  <c r="AB309" i="15"/>
  <c r="AD239" i="15"/>
  <c r="AE239" i="15" s="1"/>
  <c r="AC239" i="15"/>
  <c r="AB239" i="15"/>
  <c r="AD317" i="15"/>
  <c r="AE317" i="15" s="1"/>
  <c r="AC317" i="15"/>
  <c r="AB317" i="15"/>
  <c r="AB292" i="15"/>
  <c r="AD292" i="15"/>
  <c r="AE292" i="15" s="1"/>
  <c r="AC292" i="15"/>
  <c r="AD268" i="15"/>
  <c r="AE268" i="15" s="1"/>
  <c r="AC268" i="15"/>
  <c r="AB268" i="15"/>
  <c r="AD286" i="15"/>
  <c r="AE286" i="15" s="1"/>
  <c r="AC286" i="15"/>
  <c r="AB286" i="15"/>
  <c r="AD328" i="15"/>
  <c r="AE328" i="15" s="1"/>
  <c r="AC328" i="15"/>
  <c r="AB328" i="15"/>
  <c r="AD319" i="15"/>
  <c r="AE319" i="15" s="1"/>
  <c r="AC319" i="15"/>
  <c r="AB319" i="15"/>
  <c r="AC243" i="15"/>
  <c r="AB243" i="15"/>
  <c r="AD243" i="15"/>
  <c r="AE243" i="15" s="1"/>
  <c r="AD298" i="15"/>
  <c r="AE298" i="15" s="1"/>
  <c r="AC298" i="15"/>
  <c r="AB298" i="15"/>
  <c r="AB308" i="15"/>
  <c r="AD308" i="15"/>
  <c r="AE308" i="15" s="1"/>
  <c r="AC308" i="15"/>
  <c r="AD271" i="15"/>
  <c r="AE271" i="15" s="1"/>
  <c r="AC271" i="15"/>
  <c r="AB271" i="15"/>
  <c r="AD302" i="15"/>
  <c r="AE302" i="15" s="1"/>
  <c r="AC302" i="15"/>
  <c r="AB302" i="15"/>
  <c r="AB315" i="15"/>
  <c r="AD315" i="15"/>
  <c r="AE315" i="15" s="1"/>
  <c r="AC315" i="15"/>
  <c r="AD301" i="15"/>
  <c r="AE301" i="15" s="1"/>
  <c r="AC301" i="15"/>
  <c r="AB301" i="15"/>
  <c r="AD248" i="15"/>
  <c r="AE248" i="15" s="1"/>
  <c r="AC248" i="15"/>
  <c r="AB248" i="15"/>
  <c r="AD219" i="15"/>
  <c r="AE219" i="15" s="1"/>
  <c r="AC219" i="15"/>
  <c r="AB219" i="15"/>
  <c r="AD238" i="15"/>
  <c r="AE238" i="15" s="1"/>
  <c r="AC238" i="15"/>
  <c r="AB238" i="15"/>
  <c r="AC231" i="15"/>
  <c r="AB231" i="15"/>
  <c r="AD231" i="15"/>
  <c r="AE231" i="15" s="1"/>
  <c r="AD225" i="15"/>
  <c r="AE225" i="15" s="1"/>
  <c r="AC225" i="15"/>
  <c r="AB225" i="15"/>
  <c r="AD265" i="15"/>
  <c r="AE265" i="15" s="1"/>
  <c r="AC265" i="15"/>
  <c r="AB265" i="15"/>
  <c r="AD232" i="15"/>
  <c r="AE232" i="15" s="1"/>
  <c r="AC232" i="15"/>
  <c r="AB232" i="15"/>
  <c r="AD235" i="15"/>
  <c r="AE235" i="15" s="1"/>
  <c r="AC235" i="15"/>
  <c r="AB235" i="15"/>
  <c r="AD329" i="15"/>
  <c r="AE329" i="15" s="1"/>
  <c r="AC329" i="15"/>
  <c r="AB329" i="15"/>
  <c r="AC215" i="15"/>
  <c r="AB215" i="15"/>
  <c r="AD215" i="15"/>
  <c r="AE215" i="15" s="1"/>
  <c r="AB223" i="15"/>
  <c r="AD223" i="15"/>
  <c r="AE223" i="15" s="1"/>
  <c r="AC223" i="15"/>
  <c r="AD241" i="15"/>
  <c r="AE241" i="15" s="1"/>
  <c r="AC241" i="15"/>
  <c r="AB241" i="15"/>
  <c r="AD253" i="15"/>
  <c r="AE253" i="15" s="1"/>
  <c r="AC253" i="15"/>
  <c r="AB253" i="15"/>
  <c r="AD312" i="15"/>
  <c r="AE312" i="15" s="1"/>
  <c r="AC312" i="15"/>
  <c r="AB312" i="15"/>
  <c r="AD240" i="15"/>
  <c r="AE240" i="15" s="1"/>
  <c r="AB240" i="15"/>
  <c r="AC240" i="15"/>
  <c r="AB325" i="15"/>
  <c r="AD325" i="15"/>
  <c r="AE325" i="15" s="1"/>
  <c r="AC325" i="15"/>
  <c r="AD250" i="15"/>
  <c r="AE250" i="15" s="1"/>
  <c r="AC250" i="15"/>
  <c r="AB250" i="15"/>
  <c r="AD210" i="15"/>
  <c r="AE210" i="15" s="1"/>
  <c r="AB210" i="15"/>
  <c r="AC210" i="15"/>
  <c r="AD314" i="15"/>
  <c r="AE314" i="15" s="1"/>
  <c r="AC314" i="15"/>
  <c r="AB314" i="15"/>
  <c r="AD281" i="15"/>
  <c r="AE281" i="15" s="1"/>
  <c r="AC281" i="15"/>
  <c r="AB281" i="15"/>
  <c r="AC217" i="15"/>
  <c r="AB217" i="15"/>
  <c r="AD217" i="15"/>
  <c r="AE217" i="15" s="1"/>
  <c r="AD229" i="15"/>
  <c r="AE229" i="15" s="1"/>
  <c r="AC229" i="15"/>
  <c r="AB229" i="15"/>
  <c r="AD326" i="15"/>
  <c r="AE326" i="15" s="1"/>
  <c r="AC326" i="15"/>
  <c r="AB326" i="15"/>
  <c r="AD234" i="15"/>
  <c r="AE234" i="15" s="1"/>
  <c r="AC234" i="15"/>
  <c r="AB234" i="15"/>
  <c r="AC247" i="15"/>
  <c r="AB247" i="15"/>
  <c r="AD247" i="15"/>
  <c r="AE247" i="15" s="1"/>
  <c r="AD282" i="15"/>
  <c r="AE282" i="15" s="1"/>
  <c r="AC282" i="15"/>
  <c r="AB282" i="15"/>
  <c r="AD254" i="15"/>
  <c r="AE254" i="15" s="1"/>
  <c r="AC254" i="15"/>
  <c r="AB254" i="15"/>
  <c r="AD249" i="15"/>
  <c r="AE249" i="15" s="1"/>
  <c r="AC249" i="15"/>
  <c r="AB249" i="15"/>
  <c r="AD246" i="15"/>
  <c r="AE246" i="15" s="1"/>
  <c r="AC246" i="15"/>
  <c r="AB246" i="15"/>
  <c r="AC280" i="15"/>
  <c r="AB280" i="15"/>
  <c r="AD280" i="15"/>
  <c r="AE280" i="15" s="1"/>
  <c r="AD272" i="15"/>
  <c r="AE272" i="15" s="1"/>
  <c r="AB272" i="15"/>
  <c r="AC272" i="15"/>
  <c r="AC263" i="15"/>
  <c r="AB263" i="15"/>
  <c r="AD263" i="15"/>
  <c r="AE263" i="15" s="1"/>
  <c r="AC257" i="15"/>
  <c r="AB257" i="15"/>
  <c r="AD257" i="15"/>
  <c r="AE257" i="15" s="1"/>
  <c r="AC275" i="15"/>
  <c r="AB275" i="15"/>
  <c r="AD275" i="15"/>
  <c r="AE275" i="15" s="1"/>
  <c r="AD290" i="15"/>
  <c r="AE290" i="15" s="1"/>
  <c r="AC290" i="15"/>
  <c r="AB290" i="15"/>
  <c r="AD284" i="15"/>
  <c r="AE284" i="15" s="1"/>
  <c r="AC284" i="15"/>
  <c r="AB284" i="15"/>
  <c r="AB276" i="15"/>
  <c r="AD276" i="15"/>
  <c r="AE276" i="15" s="1"/>
  <c r="AC276" i="15"/>
  <c r="AD214" i="15"/>
  <c r="AE214" i="15" s="1"/>
  <c r="AC214" i="15"/>
  <c r="AB214" i="15"/>
  <c r="AD300" i="15"/>
  <c r="AE300" i="15" s="1"/>
  <c r="AC300" i="15"/>
  <c r="AB300" i="15"/>
  <c r="AC213" i="15"/>
  <c r="AB213" i="15"/>
  <c r="AD213" i="15"/>
  <c r="AE213" i="15" s="1"/>
  <c r="AD211" i="15"/>
  <c r="AE211" i="15" s="1"/>
  <c r="AC211" i="15"/>
  <c r="AB211" i="15"/>
  <c r="AD255" i="15"/>
  <c r="AE255" i="15" s="1"/>
  <c r="AC255" i="15"/>
  <c r="AB255" i="15"/>
  <c r="AD294" i="15"/>
  <c r="AE294" i="15" s="1"/>
  <c r="AC294" i="15"/>
  <c r="AB294" i="15"/>
  <c r="AD242" i="15"/>
  <c r="AE242" i="15" s="1"/>
  <c r="AC242" i="15"/>
  <c r="AB242" i="15"/>
  <c r="AD256" i="15"/>
  <c r="AE256" i="15" s="1"/>
  <c r="AB256" i="15"/>
  <c r="AC256" i="15"/>
  <c r="AD224" i="15"/>
  <c r="AE224" i="15" s="1"/>
  <c r="AB224" i="15"/>
  <c r="AC224" i="15"/>
  <c r="AD274" i="15"/>
  <c r="AE274" i="15" s="1"/>
  <c r="AC274" i="15"/>
  <c r="AB274" i="15"/>
  <c r="AD264" i="15"/>
  <c r="AE264" i="15" s="1"/>
  <c r="AC264" i="15"/>
  <c r="AB264" i="15"/>
  <c r="AD270" i="15"/>
  <c r="AE270" i="15" s="1"/>
  <c r="AC270" i="15"/>
  <c r="AB270" i="15"/>
  <c r="AB222" i="15"/>
  <c r="AD222" i="15"/>
  <c r="AE222" i="15" s="1"/>
  <c r="AC222" i="15"/>
  <c r="AD288" i="15"/>
  <c r="AE288" i="15" s="1"/>
  <c r="AB288" i="15"/>
  <c r="AC288" i="15"/>
  <c r="AC279" i="15"/>
  <c r="AB279" i="15"/>
  <c r="AD279" i="15"/>
  <c r="AE279" i="15" s="1"/>
  <c r="AB273" i="15"/>
  <c r="AD273" i="15"/>
  <c r="AE273" i="15" s="1"/>
  <c r="AC273" i="15"/>
  <c r="AD285" i="15"/>
  <c r="AE285" i="15" s="1"/>
  <c r="AC285" i="15"/>
  <c r="AB285" i="15"/>
  <c r="AD233" i="15"/>
  <c r="AE233" i="15" s="1"/>
  <c r="AC233" i="15"/>
  <c r="AB233" i="15"/>
  <c r="AD267" i="15"/>
  <c r="AE267" i="15" s="1"/>
  <c r="AC267" i="15"/>
  <c r="AB267" i="15"/>
  <c r="AD293" i="15"/>
  <c r="AE293" i="15" s="1"/>
  <c r="AC293" i="15"/>
  <c r="AB293" i="15"/>
  <c r="AB226" i="15"/>
  <c r="AD226" i="15"/>
  <c r="AE226" i="15" s="1"/>
  <c r="AC226" i="15"/>
  <c r="AD304" i="15"/>
  <c r="AE304" i="15" s="1"/>
  <c r="AC304" i="15"/>
  <c r="AB304" i="15"/>
  <c r="AC295" i="15"/>
  <c r="AB295" i="15"/>
  <c r="AD295" i="15"/>
  <c r="AE295" i="15" s="1"/>
  <c r="AD289" i="15"/>
  <c r="AE289" i="15" s="1"/>
  <c r="AC289" i="15"/>
  <c r="AB289" i="15"/>
  <c r="AB258" i="15"/>
  <c r="AD258" i="15"/>
  <c r="AE258" i="15" s="1"/>
  <c r="AC258" i="15"/>
  <c r="AC227" i="15"/>
  <c r="AD227" i="15"/>
  <c r="AE227" i="15" s="1"/>
  <c r="AB227" i="15"/>
  <c r="AD297" i="15"/>
  <c r="AE297" i="15" s="1"/>
  <c r="AC297" i="15"/>
  <c r="AB297" i="15"/>
  <c r="AC296" i="15"/>
  <c r="AB296" i="15"/>
  <c r="AD296" i="15"/>
  <c r="AE296" i="15" s="1"/>
  <c r="AD320" i="15"/>
  <c r="AE320" i="15" s="1"/>
  <c r="AC320" i="15"/>
  <c r="AB320" i="15"/>
  <c r="AC311" i="15"/>
  <c r="AB311" i="15"/>
  <c r="AD311" i="15"/>
  <c r="AE311" i="15" s="1"/>
  <c r="AB305" i="15"/>
  <c r="AD305" i="15"/>
  <c r="AE305" i="15" s="1"/>
  <c r="AC305" i="15"/>
  <c r="AD261" i="15"/>
  <c r="AE261" i="15" s="1"/>
  <c r="AC261" i="15"/>
  <c r="AB261" i="15"/>
  <c r="AB324" i="15"/>
  <c r="AD324" i="15"/>
  <c r="AE324" i="15" s="1"/>
  <c r="AC324" i="15"/>
  <c r="AD220" i="15"/>
  <c r="AE220" i="15" s="1"/>
  <c r="AC220" i="15"/>
  <c r="AB220" i="15"/>
  <c r="AD278" i="15"/>
  <c r="AE278" i="15" s="1"/>
  <c r="AC278" i="15"/>
  <c r="AB278" i="15"/>
  <c r="AD245" i="15"/>
  <c r="AE245" i="15" s="1"/>
  <c r="AC245" i="15"/>
  <c r="AB245" i="15"/>
  <c r="AD230" i="15"/>
  <c r="AE230" i="15" s="1"/>
  <c r="AB230" i="15"/>
  <c r="AC230" i="15"/>
  <c r="AD283" i="15"/>
  <c r="AE283" i="15" s="1"/>
  <c r="AC283" i="15"/>
  <c r="AB283" i="15"/>
  <c r="AD262" i="15"/>
  <c r="AE262" i="15" s="1"/>
  <c r="AC262" i="15"/>
  <c r="AB262" i="15"/>
  <c r="AC306" i="15"/>
  <c r="AB306" i="15"/>
  <c r="AD306" i="15"/>
  <c r="AE306" i="15" s="1"/>
  <c r="AD313" i="15"/>
  <c r="AE313" i="15" s="1"/>
  <c r="AC313" i="15"/>
  <c r="AB313" i="15"/>
  <c r="AB252" i="15"/>
  <c r="AD252" i="15"/>
  <c r="AE252" i="15" s="1"/>
  <c r="AC252" i="15"/>
  <c r="AD221" i="15"/>
  <c r="AE221" i="15" s="1"/>
  <c r="AC221" i="15"/>
  <c r="AB221" i="15"/>
  <c r="AC327" i="15"/>
  <c r="AB327" i="15"/>
  <c r="AD327" i="15"/>
  <c r="AE327" i="15" s="1"/>
  <c r="AD321" i="15"/>
  <c r="AE321" i="15" s="1"/>
  <c r="AC321" i="15"/>
  <c r="AB321" i="15"/>
  <c r="AD236" i="15"/>
  <c r="AE236" i="15" s="1"/>
  <c r="AC236" i="15"/>
  <c r="AB236" i="15"/>
  <c r="AD287" i="15"/>
  <c r="AE287" i="15" s="1"/>
  <c r="AB287" i="15"/>
  <c r="AC287" i="15"/>
  <c r="AD218" i="15"/>
  <c r="AE218" i="15" s="1"/>
  <c r="AC218" i="15"/>
  <c r="AB218" i="15"/>
  <c r="AC259" i="15"/>
  <c r="AB259" i="15"/>
  <c r="AD259" i="15"/>
  <c r="AE259" i="15" s="1"/>
  <c r="AD307" i="15"/>
  <c r="AE307" i="15" s="1"/>
  <c r="AC307" i="15"/>
  <c r="AB307" i="15"/>
  <c r="AC291" i="15"/>
  <c r="AB291" i="15"/>
  <c r="AD291" i="15"/>
  <c r="AE291" i="15" s="1"/>
  <c r="AD322" i="15"/>
  <c r="AE322" i="15" s="1"/>
  <c r="AC322" i="15"/>
  <c r="AB322" i="15"/>
  <c r="AD303" i="15"/>
  <c r="AE303" i="15" s="1"/>
  <c r="AC303" i="15"/>
  <c r="AB303" i="15"/>
  <c r="AD310" i="15"/>
  <c r="AE310" i="15" s="1"/>
  <c r="AC310" i="15"/>
  <c r="AB310" i="15"/>
  <c r="AD277" i="15"/>
  <c r="AE277" i="15" s="1"/>
  <c r="AC277" i="15"/>
  <c r="AB277" i="15"/>
  <c r="AC316" i="15"/>
  <c r="AB316" i="15"/>
  <c r="AD316" i="15"/>
  <c r="AE316" i="15" s="1"/>
  <c r="AD323" i="15"/>
  <c r="AE323" i="15" s="1"/>
  <c r="AC323" i="15"/>
  <c r="AB323" i="15"/>
  <c r="AD266" i="15"/>
  <c r="AE266" i="15" s="1"/>
  <c r="AC266" i="15"/>
  <c r="AB266" i="15"/>
  <c r="AD237" i="15"/>
  <c r="AE237" i="15" s="1"/>
  <c r="AC237" i="15"/>
  <c r="AB237" i="15"/>
  <c r="AB212" i="15"/>
  <c r="AD212" i="15"/>
  <c r="AE212" i="15" s="1"/>
  <c r="AC212" i="15"/>
  <c r="B143" i="8"/>
  <c r="D143" i="8" s="1"/>
  <c r="E143" i="8" s="1"/>
  <c r="F143" i="8" s="1"/>
  <c r="G143" i="8" s="1"/>
  <c r="H143" i="8" s="1"/>
  <c r="W142" i="8"/>
  <c r="X142" i="8" s="1"/>
  <c r="K143" i="8" l="1"/>
  <c r="I143" i="8"/>
  <c r="J143" i="8" s="1"/>
  <c r="O143" i="8" l="1"/>
  <c r="L143" i="8"/>
  <c r="P143" i="8" s="1"/>
  <c r="T143" i="8" s="1"/>
  <c r="N143" i="8"/>
  <c r="S143" i="8"/>
  <c r="U143" i="8" s="1"/>
  <c r="C144" i="8" s="1"/>
  <c r="Q143" i="8"/>
  <c r="R143" i="8"/>
  <c r="M143" i="8"/>
  <c r="W143" i="8" l="1"/>
  <c r="B144" i="8"/>
  <c r="D144" i="8" s="1"/>
  <c r="E144" i="8" s="1"/>
  <c r="F144" i="8" s="1"/>
  <c r="G144" i="8" s="1"/>
  <c r="H144" i="8" s="1"/>
  <c r="V143" i="8"/>
  <c r="X143" i="8" l="1"/>
  <c r="K144" i="8"/>
  <c r="I144" i="8"/>
  <c r="J144" i="8" s="1"/>
  <c r="L144" i="8" l="1"/>
  <c r="P144" i="8" s="1"/>
  <c r="T144" i="8" s="1"/>
  <c r="N144" i="8"/>
  <c r="O144" i="8"/>
  <c r="R144" i="8"/>
  <c r="M144" i="8"/>
  <c r="S144" i="8"/>
  <c r="U144" i="8" s="1"/>
  <c r="C145" i="8" s="1"/>
  <c r="Q144" i="8"/>
  <c r="W144" i="8" l="1"/>
  <c r="B145" i="8"/>
  <c r="D145" i="8" s="1"/>
  <c r="E145" i="8" s="1"/>
  <c r="F145" i="8" s="1"/>
  <c r="G145" i="8" s="1"/>
  <c r="H145" i="8" s="1"/>
  <c r="V144" i="8"/>
  <c r="C58" i="8"/>
  <c r="C57" i="8"/>
  <c r="I145" i="8" l="1"/>
  <c r="J145" i="8" s="1"/>
  <c r="K145" i="8"/>
  <c r="X144" i="8"/>
  <c r="S145" i="8" l="1"/>
  <c r="U145" i="8" s="1"/>
  <c r="C146" i="8" s="1"/>
  <c r="Q145" i="8"/>
  <c r="M145" i="8"/>
  <c r="R145" i="8"/>
  <c r="L145" i="8"/>
  <c r="V145" i="8" s="1"/>
  <c r="O145" i="8"/>
  <c r="N145" i="8"/>
  <c r="I71" i="8"/>
  <c r="P145" i="8" l="1"/>
  <c r="T145" i="8" s="1"/>
  <c r="B146" i="8" s="1"/>
  <c r="D146" i="8" s="1"/>
  <c r="E146" i="8" s="1"/>
  <c r="F146" i="8" s="1"/>
  <c r="G146" i="8" s="1"/>
  <c r="H146" i="8" s="1"/>
  <c r="I70" i="8"/>
  <c r="I72" i="8" s="1"/>
  <c r="W145" i="8" l="1"/>
  <c r="X145" i="8" s="1"/>
  <c r="K146" i="8"/>
  <c r="I146" i="8"/>
  <c r="J146" i="8" s="1"/>
  <c r="L146" i="8" l="1"/>
  <c r="P146" i="8" s="1"/>
  <c r="T146" i="8" s="1"/>
  <c r="O146" i="8"/>
  <c r="N146" i="8"/>
  <c r="M146" i="8"/>
  <c r="Q146" i="8"/>
  <c r="S146" i="8"/>
  <c r="U146" i="8" s="1"/>
  <c r="C147" i="8" s="1"/>
  <c r="R146" i="8"/>
  <c r="B147" i="8" l="1"/>
  <c r="D147" i="8" s="1"/>
  <c r="E147" i="8" s="1"/>
  <c r="F147" i="8" s="1"/>
  <c r="G147" i="8" s="1"/>
  <c r="H147" i="8" s="1"/>
  <c r="W146" i="8"/>
  <c r="V146" i="8"/>
  <c r="X146" i="8" l="1"/>
  <c r="I147" i="8"/>
  <c r="J147" i="8" s="1"/>
  <c r="K147" i="8"/>
  <c r="Q147" i="8" l="1"/>
  <c r="S147" i="8"/>
  <c r="U147" i="8" s="1"/>
  <c r="C148" i="8" s="1"/>
  <c r="M147" i="8"/>
  <c r="R147" i="8"/>
  <c r="L147" i="8"/>
  <c r="N147" i="8"/>
  <c r="O147" i="8"/>
  <c r="V147" i="8" l="1"/>
  <c r="P147" i="8"/>
  <c r="T147" i="8" s="1"/>
  <c r="B148" i="8" s="1"/>
  <c r="D148" i="8" s="1"/>
  <c r="E148" i="8" s="1"/>
  <c r="F148" i="8" s="1"/>
  <c r="G148" i="8" s="1"/>
  <c r="H148" i="8" s="1"/>
  <c r="W147" i="8" l="1"/>
  <c r="X147" i="8" s="1"/>
  <c r="I148" i="8"/>
  <c r="J148" i="8" s="1"/>
  <c r="K148" i="8"/>
  <c r="R148" i="8" l="1"/>
  <c r="Q148" i="8"/>
  <c r="S148" i="8"/>
  <c r="U148" i="8" s="1"/>
  <c r="C149" i="8" s="1"/>
  <c r="M148" i="8"/>
  <c r="L148" i="8"/>
  <c r="P148" i="8" s="1"/>
  <c r="T148" i="8" s="1"/>
  <c r="O148" i="8"/>
  <c r="N148" i="8"/>
  <c r="V148" i="8" l="1"/>
  <c r="B149" i="8"/>
  <c r="D149" i="8" s="1"/>
  <c r="E149" i="8" s="1"/>
  <c r="F149" i="8" s="1"/>
  <c r="G149" i="8" s="1"/>
  <c r="H149" i="8" s="1"/>
  <c r="W148" i="8"/>
  <c r="X148" i="8" l="1"/>
  <c r="I149" i="8"/>
  <c r="J149" i="8" s="1"/>
  <c r="K149" i="8"/>
  <c r="Q149" i="8" l="1"/>
  <c r="S149" i="8"/>
  <c r="U149" i="8" s="1"/>
  <c r="C150" i="8" s="1"/>
  <c r="M149" i="8"/>
  <c r="R149" i="8"/>
  <c r="N149" i="8"/>
  <c r="O149" i="8"/>
  <c r="L149" i="8"/>
  <c r="V149" i="8" s="1"/>
  <c r="P149" i="8" l="1"/>
  <c r="T149" i="8" s="1"/>
  <c r="W149" i="8" l="1"/>
  <c r="X149" i="8" s="1"/>
  <c r="B150" i="8"/>
  <c r="D150" i="8" s="1"/>
  <c r="E150" i="8" s="1"/>
  <c r="F150" i="8" s="1"/>
  <c r="G150" i="8" s="1"/>
  <c r="H150" i="8" s="1"/>
  <c r="K150" i="8" l="1"/>
  <c r="I150" i="8"/>
  <c r="J150" i="8" s="1"/>
  <c r="N150" i="8" l="1"/>
  <c r="L150" i="8"/>
  <c r="O150" i="8"/>
  <c r="Q150" i="8"/>
  <c r="R150" i="8"/>
  <c r="M150" i="8"/>
  <c r="S150" i="8"/>
  <c r="U150" i="8" s="1"/>
  <c r="C151" i="8" s="1"/>
  <c r="V150" i="8" l="1"/>
  <c r="P150" i="8"/>
  <c r="T150" i="8" s="1"/>
  <c r="B151" i="8" l="1"/>
  <c r="D151" i="8" s="1"/>
  <c r="E151" i="8" s="1"/>
  <c r="F151" i="8" s="1"/>
  <c r="G151" i="8" s="1"/>
  <c r="H151" i="8" s="1"/>
  <c r="W150" i="8"/>
  <c r="X150" i="8" s="1"/>
  <c r="I151" i="8" l="1"/>
  <c r="J151" i="8" s="1"/>
  <c r="K151" i="8"/>
  <c r="R151" i="8" l="1"/>
  <c r="Q151" i="8"/>
  <c r="S151" i="8"/>
  <c r="U151" i="8" s="1"/>
  <c r="C152" i="8" s="1"/>
  <c r="M151" i="8"/>
  <c r="N151" i="8"/>
  <c r="O151" i="8"/>
  <c r="L151" i="8"/>
  <c r="V151" i="8" s="1"/>
  <c r="P151" i="8" l="1"/>
  <c r="T151" i="8" s="1"/>
  <c r="W151" i="8" l="1"/>
  <c r="X151" i="8" s="1"/>
  <c r="B152" i="8"/>
  <c r="D152" i="8" s="1"/>
  <c r="E152" i="8" s="1"/>
  <c r="F152" i="8" s="1"/>
  <c r="G152" i="8" s="1"/>
  <c r="H152" i="8" s="1"/>
  <c r="K152" i="8" l="1"/>
  <c r="I152" i="8"/>
  <c r="J152" i="8" s="1"/>
  <c r="L152" i="8" l="1"/>
  <c r="O152" i="8"/>
  <c r="N152" i="8"/>
  <c r="S152" i="8"/>
  <c r="U152" i="8" s="1"/>
  <c r="C153" i="8" s="1"/>
  <c r="M152" i="8"/>
  <c r="Q152" i="8"/>
  <c r="R152" i="8"/>
  <c r="V152" i="8" l="1"/>
  <c r="P152" i="8"/>
  <c r="T152" i="8" s="1"/>
  <c r="W152" i="8" l="1"/>
  <c r="X152" i="8" s="1"/>
  <c r="B153" i="8"/>
  <c r="D153" i="8" s="1"/>
  <c r="E153" i="8" s="1"/>
  <c r="F153" i="8" s="1"/>
  <c r="G153" i="8" s="1"/>
  <c r="H153" i="8" s="1"/>
  <c r="K153" i="8" l="1"/>
  <c r="I153" i="8"/>
  <c r="J153" i="8" s="1"/>
  <c r="L153" i="8" l="1"/>
  <c r="P153" i="8" s="1"/>
  <c r="T153" i="8" s="1"/>
  <c r="O153" i="8"/>
  <c r="N153" i="8"/>
  <c r="R153" i="8"/>
  <c r="S153" i="8"/>
  <c r="U153" i="8" s="1"/>
  <c r="C154" i="8" s="1"/>
  <c r="Q153" i="8"/>
  <c r="M153" i="8"/>
  <c r="W153" i="8" l="1"/>
  <c r="B154" i="8"/>
  <c r="D154" i="8" s="1"/>
  <c r="E154" i="8" s="1"/>
  <c r="F154" i="8" s="1"/>
  <c r="V153" i="8"/>
  <c r="C55" i="8" l="1"/>
  <c r="G154" i="8"/>
  <c r="X153" i="8"/>
  <c r="C56" i="8" l="1"/>
  <c r="H154" i="8"/>
  <c r="K154" i="8" l="1"/>
  <c r="I154" i="8"/>
  <c r="J154" i="8" s="1"/>
  <c r="O154" i="8" l="1"/>
  <c r="L154" i="8"/>
  <c r="P154" i="8" s="1"/>
  <c r="T154" i="8" s="1"/>
  <c r="N154" i="8"/>
  <c r="S154" i="8"/>
  <c r="U154" i="8" s="1"/>
  <c r="R154" i="8"/>
  <c r="Q154" i="8"/>
  <c r="M154" i="8"/>
  <c r="W154" i="8" l="1"/>
  <c r="V154" i="8"/>
  <c r="C59" i="8" s="1"/>
  <c r="X154" i="8" l="1"/>
  <c r="AA317" i="8" l="1"/>
  <c r="AA301" i="8"/>
  <c r="AA285" i="8"/>
  <c r="AA269" i="8"/>
  <c r="AA253" i="8"/>
  <c r="AA237" i="8"/>
  <c r="AA221" i="8"/>
  <c r="AA258" i="8"/>
  <c r="AA318" i="8"/>
  <c r="AA302" i="8"/>
  <c r="AA286" i="8"/>
  <c r="AA270" i="8"/>
  <c r="AA254" i="8"/>
  <c r="AA238" i="8"/>
  <c r="AA222" i="8"/>
  <c r="AA274" i="8"/>
  <c r="AA315" i="8"/>
  <c r="AA299" i="8"/>
  <c r="AA283" i="8"/>
  <c r="AA267" i="8"/>
  <c r="AA251" i="8"/>
  <c r="AA235" i="8"/>
  <c r="AA219" i="8"/>
  <c r="AA252" i="8"/>
  <c r="AA236" i="8"/>
  <c r="AA220" i="8"/>
  <c r="AA233" i="8"/>
  <c r="AA217" i="8"/>
  <c r="AA218" i="8"/>
  <c r="AA295" i="8"/>
  <c r="AA263" i="8"/>
  <c r="AA264" i="8"/>
  <c r="AA216" i="8"/>
  <c r="AA261" i="8"/>
  <c r="AA229" i="8"/>
  <c r="AA310" i="8"/>
  <c r="AA246" i="8"/>
  <c r="AA291" i="8"/>
  <c r="AA260" i="8"/>
  <c r="AA321" i="8"/>
  <c r="AA225" i="8"/>
  <c r="AA226" i="8"/>
  <c r="AA223" i="8"/>
  <c r="AA256" i="8"/>
  <c r="A358" i="8"/>
  <c r="AA316" i="8"/>
  <c r="AA300" i="8"/>
  <c r="AA284" i="8"/>
  <c r="AA268" i="8"/>
  <c r="AA215" i="8"/>
  <c r="AA280" i="8"/>
  <c r="AA232" i="8"/>
  <c r="AA293" i="8"/>
  <c r="AA245" i="8"/>
  <c r="AA278" i="8"/>
  <c r="AA307" i="8"/>
  <c r="AA227" i="8"/>
  <c r="AA228" i="8"/>
  <c r="AA289" i="8"/>
  <c r="AA290" i="8"/>
  <c r="AA239" i="8"/>
  <c r="AA304" i="8"/>
  <c r="A359" i="8"/>
  <c r="AA313" i="8"/>
  <c r="AA297" i="8"/>
  <c r="AA281" i="8"/>
  <c r="AA265" i="8"/>
  <c r="AA249" i="8"/>
  <c r="AA231" i="8"/>
  <c r="AA296" i="8"/>
  <c r="AA248" i="8"/>
  <c r="AA309" i="8"/>
  <c r="AA213" i="8"/>
  <c r="AA262" i="8"/>
  <c r="AA323" i="8"/>
  <c r="AA292" i="8"/>
  <c r="AA305" i="8"/>
  <c r="AA210" i="8"/>
  <c r="AA319" i="8"/>
  <c r="AA272" i="8"/>
  <c r="AA329" i="8"/>
  <c r="AA314" i="8"/>
  <c r="AA298" i="8"/>
  <c r="AA282" i="8"/>
  <c r="AA266" i="8"/>
  <c r="AA250" i="8"/>
  <c r="AA234" i="8"/>
  <c r="AA247" i="8"/>
  <c r="AA312" i="8"/>
  <c r="AA277" i="8"/>
  <c r="AA294" i="8"/>
  <c r="AA230" i="8"/>
  <c r="AA275" i="8"/>
  <c r="AA308" i="8"/>
  <c r="AA212" i="8"/>
  <c r="AA306" i="8"/>
  <c r="AA320" i="8"/>
  <c r="AA224" i="8"/>
  <c r="AA327" i="8"/>
  <c r="AA311" i="8"/>
  <c r="AA279" i="8"/>
  <c r="AA326" i="8"/>
  <c r="AA214" i="8"/>
  <c r="AA259" i="8"/>
  <c r="AA276" i="8"/>
  <c r="AA257" i="8"/>
  <c r="AA242" i="8"/>
  <c r="AA255" i="8"/>
  <c r="AA240" i="8"/>
  <c r="AA328" i="8"/>
  <c r="AA243" i="8"/>
  <c r="AA244" i="8"/>
  <c r="AA273" i="8"/>
  <c r="I60" i="8"/>
  <c r="I61" i="8" s="1"/>
  <c r="I62" i="8" s="1"/>
  <c r="I63" i="8" s="1"/>
  <c r="I64" i="8" s="1"/>
  <c r="I65" i="8" s="1"/>
  <c r="AA325" i="8"/>
  <c r="AA211" i="8"/>
  <c r="AA324" i="8"/>
  <c r="AA241" i="8"/>
  <c r="AA322" i="8"/>
  <c r="AA271" i="8"/>
  <c r="AA288" i="8"/>
  <c r="AA303" i="8"/>
  <c r="AA287" i="8"/>
  <c r="AB306" i="8" l="1"/>
  <c r="AD306" i="8"/>
  <c r="AE306" i="8" s="1"/>
  <c r="AC306" i="8"/>
  <c r="AB212" i="8"/>
  <c r="AC212" i="8"/>
  <c r="AD212" i="8"/>
  <c r="AE212" i="8" s="1"/>
  <c r="AC284" i="8"/>
  <c r="AD284" i="8"/>
  <c r="AE284" i="8" s="1"/>
  <c r="AB284" i="8"/>
  <c r="AD270" i="8"/>
  <c r="AE270" i="8" s="1"/>
  <c r="AB270" i="8"/>
  <c r="AC270" i="8"/>
  <c r="AB254" i="8"/>
  <c r="AD254" i="8"/>
  <c r="AE254" i="8" s="1"/>
  <c r="AC254" i="8"/>
  <c r="AD230" i="8"/>
  <c r="AE230" i="8" s="1"/>
  <c r="AB230" i="8"/>
  <c r="AC230" i="8"/>
  <c r="AC290" i="8"/>
  <c r="AB290" i="8"/>
  <c r="AD290" i="8"/>
  <c r="AE290" i="8" s="1"/>
  <c r="AD287" i="8"/>
  <c r="AE287" i="8" s="1"/>
  <c r="AC287" i="8"/>
  <c r="AB287" i="8"/>
  <c r="AB323" i="8"/>
  <c r="AC323" i="8"/>
  <c r="AD323" i="8"/>
  <c r="AE323" i="8" s="1"/>
  <c r="AD289" i="8"/>
  <c r="AE289" i="8" s="1"/>
  <c r="AC289" i="8"/>
  <c r="AB289" i="8"/>
  <c r="AD223" i="8"/>
  <c r="AE223" i="8" s="1"/>
  <c r="AC223" i="8"/>
  <c r="AB223" i="8"/>
  <c r="AC233" i="8"/>
  <c r="AB233" i="8"/>
  <c r="AD233" i="8"/>
  <c r="AE233" i="8" s="1"/>
  <c r="AD286" i="8"/>
  <c r="AE286" i="8" s="1"/>
  <c r="AB286" i="8"/>
  <c r="AC286" i="8"/>
  <c r="AB275" i="8"/>
  <c r="AC275" i="8"/>
  <c r="AD275" i="8"/>
  <c r="AE275" i="8" s="1"/>
  <c r="AD305" i="8"/>
  <c r="AE305" i="8" s="1"/>
  <c r="AC305" i="8"/>
  <c r="AB305" i="8"/>
  <c r="AD239" i="8"/>
  <c r="AE239" i="8" s="1"/>
  <c r="AC239" i="8"/>
  <c r="AB239" i="8"/>
  <c r="AB218" i="8"/>
  <c r="AC218" i="8"/>
  <c r="AD218" i="8"/>
  <c r="AE218" i="8" s="1"/>
  <c r="AD255" i="8"/>
  <c r="AE255" i="8" s="1"/>
  <c r="AC255" i="8"/>
  <c r="AB255" i="8"/>
  <c r="AD292" i="8"/>
  <c r="AE292" i="8" s="1"/>
  <c r="AC292" i="8"/>
  <c r="AB292" i="8"/>
  <c r="AD256" i="8"/>
  <c r="AE256" i="8" s="1"/>
  <c r="AB256" i="8"/>
  <c r="AC256" i="8"/>
  <c r="AB294" i="8"/>
  <c r="AD294" i="8"/>
  <c r="AE294" i="8" s="1"/>
  <c r="AC294" i="8"/>
  <c r="AD303" i="8"/>
  <c r="AE303" i="8" s="1"/>
  <c r="AC303" i="8"/>
  <c r="AB303" i="8"/>
  <c r="AD257" i="8"/>
  <c r="AE257" i="8" s="1"/>
  <c r="AB257" i="8"/>
  <c r="AC257" i="8"/>
  <c r="AB262" i="8"/>
  <c r="AC262" i="8"/>
  <c r="AD262" i="8"/>
  <c r="AE262" i="8" s="1"/>
  <c r="AB226" i="8"/>
  <c r="AC226" i="8"/>
  <c r="AD226" i="8"/>
  <c r="AE226" i="8" s="1"/>
  <c r="AC220" i="8"/>
  <c r="AD220" i="8"/>
  <c r="AE220" i="8" s="1"/>
  <c r="AB220" i="8"/>
  <c r="AB302" i="8"/>
  <c r="AD302" i="8"/>
  <c r="AE302" i="8" s="1"/>
  <c r="AC302" i="8"/>
  <c r="AC217" i="8"/>
  <c r="AB217" i="8"/>
  <c r="AD217" i="8"/>
  <c r="AE217" i="8" s="1"/>
  <c r="AB242" i="8"/>
  <c r="AC242" i="8"/>
  <c r="AD242" i="8"/>
  <c r="AE242" i="8" s="1"/>
  <c r="AD288" i="8"/>
  <c r="AE288" i="8" s="1"/>
  <c r="AB288" i="8"/>
  <c r="AC288" i="8"/>
  <c r="AD225" i="8"/>
  <c r="AE225" i="8" s="1"/>
  <c r="AC225" i="8"/>
  <c r="AB225" i="8"/>
  <c r="AD236" i="8"/>
  <c r="AE236" i="8" s="1"/>
  <c r="AC236" i="8"/>
  <c r="AB236" i="8"/>
  <c r="AD318" i="8"/>
  <c r="AE318" i="8" s="1"/>
  <c r="AB318" i="8"/>
  <c r="AC318" i="8"/>
  <c r="AB277" i="8"/>
  <c r="AC277" i="8"/>
  <c r="AD277" i="8"/>
  <c r="AE277" i="8" s="1"/>
  <c r="AB228" i="8"/>
  <c r="AD228" i="8"/>
  <c r="AE228" i="8" s="1"/>
  <c r="AC228" i="8"/>
  <c r="AB312" i="8"/>
  <c r="AC312" i="8"/>
  <c r="AD312" i="8"/>
  <c r="AE312" i="8" s="1"/>
  <c r="AB259" i="8"/>
  <c r="AC259" i="8"/>
  <c r="AD259" i="8"/>
  <c r="AE259" i="8" s="1"/>
  <c r="AB309" i="8"/>
  <c r="AD309" i="8"/>
  <c r="AE309" i="8" s="1"/>
  <c r="AC309" i="8"/>
  <c r="AB307" i="8"/>
  <c r="AC307" i="8"/>
  <c r="AD307" i="8"/>
  <c r="AE307" i="8" s="1"/>
  <c r="AD321" i="8"/>
  <c r="AE321" i="8" s="1"/>
  <c r="AB321" i="8"/>
  <c r="AC321" i="8"/>
  <c r="AD252" i="8"/>
  <c r="AE252" i="8" s="1"/>
  <c r="AC252" i="8"/>
  <c r="AB252" i="8"/>
  <c r="AB258" i="8"/>
  <c r="AC258" i="8"/>
  <c r="AD258" i="8"/>
  <c r="AE258" i="8" s="1"/>
  <c r="AC244" i="8"/>
  <c r="AB244" i="8"/>
  <c r="AD244" i="8"/>
  <c r="AE244" i="8" s="1"/>
  <c r="AC313" i="8"/>
  <c r="AB313" i="8"/>
  <c r="AD313" i="8"/>
  <c r="AE313" i="8" s="1"/>
  <c r="AB264" i="8"/>
  <c r="AC264" i="8"/>
  <c r="AD264" i="8"/>
  <c r="AE264" i="8" s="1"/>
  <c r="AD319" i="8"/>
  <c r="AE319" i="8" s="1"/>
  <c r="AC319" i="8"/>
  <c r="AB319" i="8"/>
  <c r="AC263" i="8"/>
  <c r="AB263" i="8"/>
  <c r="AD263" i="8"/>
  <c r="AE263" i="8" s="1"/>
  <c r="AB328" i="8"/>
  <c r="AC328" i="8"/>
  <c r="AD328" i="8"/>
  <c r="AE328" i="8" s="1"/>
  <c r="AD238" i="8"/>
  <c r="AE238" i="8" s="1"/>
  <c r="AB238" i="8"/>
  <c r="AC238" i="8"/>
  <c r="AD276" i="8"/>
  <c r="AE276" i="8" s="1"/>
  <c r="AC276" i="8"/>
  <c r="AB276" i="8"/>
  <c r="AC227" i="8"/>
  <c r="AB227" i="8"/>
  <c r="AD227" i="8"/>
  <c r="AE227" i="8" s="1"/>
  <c r="AD322" i="8"/>
  <c r="AE322" i="8" s="1"/>
  <c r="AC322" i="8"/>
  <c r="AB322" i="8"/>
  <c r="AB248" i="8"/>
  <c r="AC248" i="8"/>
  <c r="AD248" i="8"/>
  <c r="AE248" i="8" s="1"/>
  <c r="AB278" i="8"/>
  <c r="AC278" i="8"/>
  <c r="AD278" i="8"/>
  <c r="AE278" i="8" s="1"/>
  <c r="AC260" i="8"/>
  <c r="AD260" i="8"/>
  <c r="AE260" i="8" s="1"/>
  <c r="AB260" i="8"/>
  <c r="AB219" i="8"/>
  <c r="AD219" i="8"/>
  <c r="AE219" i="8" s="1"/>
  <c r="AC219" i="8"/>
  <c r="AC221" i="8"/>
  <c r="AD221" i="8"/>
  <c r="AE221" i="8" s="1"/>
  <c r="AB221" i="8"/>
  <c r="AC213" i="8"/>
  <c r="AB213" i="8"/>
  <c r="AD213" i="8"/>
  <c r="AE213" i="8" s="1"/>
  <c r="AB247" i="8"/>
  <c r="AC247" i="8"/>
  <c r="AD247" i="8"/>
  <c r="AE247" i="8" s="1"/>
  <c r="AD326" i="8"/>
  <c r="AE326" i="8" s="1"/>
  <c r="AB326" i="8"/>
  <c r="AC326" i="8"/>
  <c r="AC245" i="8"/>
  <c r="AD245" i="8"/>
  <c r="AE245" i="8" s="1"/>
  <c r="AB245" i="8"/>
  <c r="AB235" i="8"/>
  <c r="AD235" i="8"/>
  <c r="AE235" i="8" s="1"/>
  <c r="AC235" i="8"/>
  <c r="AD237" i="8"/>
  <c r="AE237" i="8" s="1"/>
  <c r="AC237" i="8"/>
  <c r="AB237" i="8"/>
  <c r="AC214" i="8"/>
  <c r="AB214" i="8"/>
  <c r="AD214" i="8"/>
  <c r="AE214" i="8" s="1"/>
  <c r="AC234" i="8"/>
  <c r="AD234" i="8"/>
  <c r="AE234" i="8" s="1"/>
  <c r="AB234" i="8"/>
  <c r="AD241" i="8"/>
  <c r="AE241" i="8" s="1"/>
  <c r="AC241" i="8"/>
  <c r="AB241" i="8"/>
  <c r="AD250" i="8"/>
  <c r="AE250" i="8" s="1"/>
  <c r="AB250" i="8"/>
  <c r="AC250" i="8"/>
  <c r="AB296" i="8"/>
  <c r="AC296" i="8"/>
  <c r="AD296" i="8"/>
  <c r="AE296" i="8" s="1"/>
  <c r="AC291" i="8"/>
  <c r="AB291" i="8"/>
  <c r="AD291" i="8"/>
  <c r="AE291" i="8" s="1"/>
  <c r="AC324" i="8"/>
  <c r="AD324" i="8"/>
  <c r="AE324" i="8" s="1"/>
  <c r="AB324" i="8"/>
  <c r="AC279" i="8"/>
  <c r="AB279" i="8"/>
  <c r="AD279" i="8"/>
  <c r="AE279" i="8" s="1"/>
  <c r="AD266" i="8"/>
  <c r="AE266" i="8" s="1"/>
  <c r="AC266" i="8"/>
  <c r="AB266" i="8"/>
  <c r="AC231" i="8"/>
  <c r="AB231" i="8"/>
  <c r="AD231" i="8"/>
  <c r="AE231" i="8" s="1"/>
  <c r="AC293" i="8"/>
  <c r="AB293" i="8"/>
  <c r="AD293" i="8"/>
  <c r="AE293" i="8" s="1"/>
  <c r="AC246" i="8"/>
  <c r="AD246" i="8"/>
  <c r="AE246" i="8" s="1"/>
  <c r="AB246" i="8"/>
  <c r="AD251" i="8"/>
  <c r="AE251" i="8" s="1"/>
  <c r="AC251" i="8"/>
  <c r="AB251" i="8"/>
  <c r="AD253" i="8"/>
  <c r="AE253" i="8" s="1"/>
  <c r="AC253" i="8"/>
  <c r="AB253" i="8"/>
  <c r="AC300" i="8"/>
  <c r="AD300" i="8"/>
  <c r="AE300" i="8" s="1"/>
  <c r="AB300" i="8"/>
  <c r="AD222" i="8"/>
  <c r="AE222" i="8" s="1"/>
  <c r="AC222" i="8"/>
  <c r="AB222" i="8"/>
  <c r="AC308" i="8"/>
  <c r="AD308" i="8"/>
  <c r="AE308" i="8" s="1"/>
  <c r="AB308" i="8"/>
  <c r="AD304" i="8"/>
  <c r="AE304" i="8" s="1"/>
  <c r="AB304" i="8"/>
  <c r="AC304" i="8"/>
  <c r="AC316" i="8"/>
  <c r="AD316" i="8"/>
  <c r="AE316" i="8" s="1"/>
  <c r="AB316" i="8"/>
  <c r="AC295" i="8"/>
  <c r="AB295" i="8"/>
  <c r="AD295" i="8"/>
  <c r="AE295" i="8" s="1"/>
  <c r="AD240" i="8"/>
  <c r="AE240" i="8" s="1"/>
  <c r="AB240" i="8"/>
  <c r="AC240" i="8"/>
  <c r="AD271" i="8"/>
  <c r="AE271" i="8" s="1"/>
  <c r="AB271" i="8"/>
  <c r="AC271" i="8"/>
  <c r="AC311" i="8"/>
  <c r="AB311" i="8"/>
  <c r="AD311" i="8"/>
  <c r="AE311" i="8" s="1"/>
  <c r="AC282" i="8"/>
  <c r="AD282" i="8"/>
  <c r="AE282" i="8" s="1"/>
  <c r="AB282" i="8"/>
  <c r="AC249" i="8"/>
  <c r="AB249" i="8"/>
  <c r="AD249" i="8"/>
  <c r="AE249" i="8" s="1"/>
  <c r="AB232" i="8"/>
  <c r="AC232" i="8"/>
  <c r="AD232" i="8"/>
  <c r="AE232" i="8" s="1"/>
  <c r="AB310" i="8"/>
  <c r="AD310" i="8"/>
  <c r="AE310" i="8" s="1"/>
  <c r="AC310" i="8"/>
  <c r="AC267" i="8"/>
  <c r="AB267" i="8"/>
  <c r="AD267" i="8"/>
  <c r="AE267" i="8" s="1"/>
  <c r="AD269" i="8"/>
  <c r="AE269" i="8" s="1"/>
  <c r="AC269" i="8"/>
  <c r="AB269" i="8"/>
  <c r="AD274" i="8"/>
  <c r="AE274" i="8" s="1"/>
  <c r="AC274" i="8"/>
  <c r="AB274" i="8"/>
  <c r="AD210" i="8"/>
  <c r="AE210" i="8" s="1"/>
  <c r="AB210" i="8"/>
  <c r="AC210" i="8"/>
  <c r="AC211" i="8"/>
  <c r="AB211" i="8"/>
  <c r="AD211" i="8"/>
  <c r="AE211" i="8" s="1"/>
  <c r="AC325" i="8"/>
  <c r="AB325" i="8"/>
  <c r="AD325" i="8"/>
  <c r="AE325" i="8" s="1"/>
  <c r="AC327" i="8"/>
  <c r="AB327" i="8"/>
  <c r="AD327" i="8"/>
  <c r="AE327" i="8" s="1"/>
  <c r="AB298" i="8"/>
  <c r="AC298" i="8"/>
  <c r="AD298" i="8"/>
  <c r="AE298" i="8" s="1"/>
  <c r="AC265" i="8"/>
  <c r="AB265" i="8"/>
  <c r="AD265" i="8"/>
  <c r="AE265" i="8" s="1"/>
  <c r="AB280" i="8"/>
  <c r="AC280" i="8"/>
  <c r="AD280" i="8"/>
  <c r="AE280" i="8" s="1"/>
  <c r="AC229" i="8"/>
  <c r="AB229" i="8"/>
  <c r="AD229" i="8"/>
  <c r="AE229" i="8" s="1"/>
  <c r="AD283" i="8"/>
  <c r="AE283" i="8" s="1"/>
  <c r="AB283" i="8"/>
  <c r="AC283" i="8"/>
  <c r="AD285" i="8"/>
  <c r="AE285" i="8" s="1"/>
  <c r="AB285" i="8"/>
  <c r="AC285" i="8"/>
  <c r="AD224" i="8"/>
  <c r="AE224" i="8" s="1"/>
  <c r="AB224" i="8"/>
  <c r="AC224" i="8"/>
  <c r="AC314" i="8"/>
  <c r="AD314" i="8"/>
  <c r="AE314" i="8" s="1"/>
  <c r="AB314" i="8"/>
  <c r="AC281" i="8"/>
  <c r="AB281" i="8"/>
  <c r="AD281" i="8"/>
  <c r="AE281" i="8" s="1"/>
  <c r="AC215" i="8"/>
  <c r="AB215" i="8"/>
  <c r="AD215" i="8"/>
  <c r="AE215" i="8" s="1"/>
  <c r="AD261" i="8"/>
  <c r="AE261" i="8" s="1"/>
  <c r="AB261" i="8"/>
  <c r="AC261" i="8"/>
  <c r="AB299" i="8"/>
  <c r="AC299" i="8"/>
  <c r="AD299" i="8"/>
  <c r="AE299" i="8" s="1"/>
  <c r="AB301" i="8"/>
  <c r="AD301" i="8"/>
  <c r="AE301" i="8" s="1"/>
  <c r="AC301" i="8"/>
  <c r="AD272" i="8"/>
  <c r="AE272" i="8" s="1"/>
  <c r="AB272" i="8"/>
  <c r="AC272" i="8"/>
  <c r="AD243" i="8"/>
  <c r="AE243" i="8" s="1"/>
  <c r="AC243" i="8"/>
  <c r="AB243" i="8"/>
  <c r="AD273" i="8"/>
  <c r="AE273" i="8" s="1"/>
  <c r="AC273" i="8"/>
  <c r="AB273" i="8"/>
  <c r="AD320" i="8"/>
  <c r="AE320" i="8" s="1"/>
  <c r="AB320" i="8"/>
  <c r="AC320" i="8"/>
  <c r="AC329" i="8"/>
  <c r="AB329" i="8"/>
  <c r="AD329" i="8"/>
  <c r="AE329" i="8" s="1"/>
  <c r="AC297" i="8"/>
  <c r="AB297" i="8"/>
  <c r="AD297" i="8"/>
  <c r="AE297" i="8" s="1"/>
  <c r="AD268" i="8"/>
  <c r="AE268" i="8" s="1"/>
  <c r="AB268" i="8"/>
  <c r="AC268" i="8"/>
  <c r="AC216" i="8"/>
  <c r="AB216" i="8"/>
  <c r="AD216" i="8"/>
  <c r="AE216" i="8" s="1"/>
  <c r="AC315" i="8"/>
  <c r="AD315" i="8"/>
  <c r="AE315" i="8" s="1"/>
  <c r="AB315" i="8"/>
  <c r="AD317" i="8"/>
  <c r="AE317" i="8" s="1"/>
  <c r="AC317" i="8"/>
  <c r="AB317" i="8"/>
</calcChain>
</file>

<file path=xl/sharedStrings.xml><?xml version="1.0" encoding="utf-8"?>
<sst xmlns="http://schemas.openxmlformats.org/spreadsheetml/2006/main" count="3372" uniqueCount="1236">
  <si>
    <t>Imposed load by use — HK Code of Practice 2011 (2021 Edition)</t>
  </si>
  <si>
    <t>Same qk values are combined. Use the LL group key in the column-loading sheet to link the imposed load.</t>
  </si>
  <si>
    <t>Official source: https://www.bd.gov.hk/doc/en/resources/codes-and-references/code-and-design-manuals/DIL2011e.pdf</t>
  </si>
  <si>
    <t>qk = uniformly distributed imposed load. Qk and special actions remain use-specific and are shown in the notes.</t>
  </si>
  <si>
    <t>LL group key</t>
  </si>
  <si>
    <t>Combined usage (same qk)</t>
  </si>
  <si>
    <t>qk (kPa)</t>
  </si>
  <si>
    <t>Qk (kN) / use details</t>
  </si>
  <si>
    <t>Special rule / scope</t>
  </si>
  <si>
    <t>HK Code clause</t>
  </si>
  <si>
    <t>Official source URL</t>
  </si>
  <si>
    <t>LL-2.0</t>
  </si>
  <si>
    <t>Residential / dormitory / hotel guest room; Inaccessible maintenance roof; Accessible roof / roof serving a specified use</t>
  </si>
  <si>
    <t>Residential / dormitory / hotel guest room: 2 kN; Inaccessible maintenance roof: 1.5 kN; Accessible roof / roof serving a specified use: 1.5 kN</t>
  </si>
  <si>
    <t>Residential rooms use 2.0 kPa. Roof values remain subject to roof slope/access provisions.</t>
  </si>
  <si>
    <t>Table 3.2, Class 1; Section 3.7, roof provisions</t>
  </si>
  <si>
    <t>https://www.bd.gov.hk/doc/en/resources/codes-and-references/code-and-design-manuals/DIL2011e.pdf</t>
  </si>
  <si>
    <t>LL-2.5</t>
  </si>
  <si>
    <t>Medical consulting / X-ray room</t>
  </si>
  <si>
    <t>Medical consulting / X-ray room: 3 kN</t>
  </si>
  <si>
    <t>Medical consulting/X-ray rooms.</t>
  </si>
  <si>
    <t>Table 3.2, Class 2</t>
  </si>
  <si>
    <t>LL-3.0</t>
  </si>
  <si>
    <t>Office; Classroom / lecture / tutorial room; Laboratory / light workroom; Private car park (vehicles ≤3,000 kg); Balcony / terrace / access platform; Lightweight electrical / electronic installation</t>
  </si>
  <si>
    <t>Office: 4.5 kN; Classroom / lecture / tutorial room: 4.5 kN; Laboratory / light workroom: 4.5 kN; Private car park (vehicles ≤3,000 kg): 20 kN; Balcony / terrace / access platform: —; Lightweight electrical / electronic installation: 4.5 kN</t>
  </si>
  <si>
    <t>Car-park Qk differs from office/lab values; balconies also have a separate 2.0 kN/m edge line load.</t>
  </si>
  <si>
    <t>Table 3.2, Class 2; Table 3.2, Class 3A; Table 3.5, Class 6A; Section 3.8, stairs/balconies/platforms</t>
  </si>
  <si>
    <t>LL-4.0</t>
  </si>
  <si>
    <t>Cafe / restaurant / F&amp;B</t>
  </si>
  <si>
    <t>Cafe / restaurant / F&amp;B: 4.5 kN</t>
  </si>
  <si>
    <t>Non-domestic kitchens and restaurants use the relevant Class 3A entry.</t>
  </si>
  <si>
    <t>Table 3.2, Class 3A</t>
  </si>
  <si>
    <t>LL-5.0</t>
  </si>
  <si>
    <t>Office storage / filing; Shop / retail / market; Public hall / assembly / exhibition; Gymnasium / ball court / sports hall; Art gallery / museum / exhibition; Refuge floor / assembly area; Library room; Public landscape roof / roof garden; Light workshop / light industrial</t>
  </si>
  <si>
    <t>Office storage / filing: 4.5 kN; Shop / retail / market: 4.5 kN; Public hall / assembly / exhibition: 4.5 kN; Gymnasium / ball court / sports hall: 4.5 kN; Art gallery / museum / exhibition: 4.5 kN; Refuge floor / assembly area: 4.5 kN; Library room: 4.5 kN; Public landscape roof / roof garden: 4.5 kN; Light workshop / light industrial: 9 kN</t>
  </si>
  <si>
    <t>Public, retail, sports, exhibition and storage-type uses may require separate crowd/storage checks.</t>
  </si>
  <si>
    <t>Table 3.2, Class 5; Table 3.2, Class 4; Table 3.2, Classes 3B–3C; Table 3.2, Class 3D; Table 3.2, Class 3C; Section 3.7 and Table 3.2</t>
  </si>
  <si>
    <t>LL-7.5</t>
  </si>
  <si>
    <t>Stage / TV studio; E&amp;M / plant / boiler / fan / motor room; Medium workshop / factory</t>
  </si>
  <si>
    <t>Stage / TV studio: 9 kN; E&amp;M / plant / boiler / fan / motor room: 9 kN; Medium workshop / factory: 9 kN</t>
  </si>
  <si>
    <t>Plant, stage and medium-workshop equipment reactions may govern in addition to qk.</t>
  </si>
  <si>
    <t>Table 3.2, Class 5</t>
  </si>
  <si>
    <t>LL-SPECIAL</t>
  </si>
  <si>
    <t>Library stack room; General storage / warehouse; Traffic / loading / unloading area; Heavy vehicles (&gt;24,000 kg); Industrial / workshop (intensity to be confirmed); Supercomputing equipment; Aircraft hangar / aircraft wheel-load area; Swimming pool / tank contents; Landscape roof / lawn / soil build-up; Unspecified use — project assessment required</t>
  </si>
  <si>
    <t>Library stack room: —; General storage / warehouse: —; Traffic / loading / unloading area: —; Heavy vehicles (&gt;24,000 kg): 80 kN; Industrial / workshop (intensity to be confirmed): —; Supercomputing equipment: —; Aircraft hangar / aircraft wheel-load area: —; Swimming pool / tank contents: —; Landscape roof / lawn / soil build-up: —; Unspecified use — project assessment required: —</t>
  </si>
  <si>
    <t>No single qk: storage height/goods, vehicle class and loaded length, aircraft wheel loads, equipment reactions, water depth and soil depth must be confirmed.</t>
  </si>
  <si>
    <t>Table 3.2, Class 5; Section 3.6, Tables 3.5–3.6; Table 3.2 plus project-specific equipment; Project-specific; check traffic/vehicle provisions by analogy only; Dead/imposed contents and project-specific liquid actions; Section 3.7 plus dead-load calculation; Section 3.2 / Section 4</t>
  </si>
  <si>
    <t>Usage input</t>
  </si>
  <si>
    <t>Roof</t>
  </si>
  <si>
    <t>Residential</t>
  </si>
  <si>
    <t>Dormitory</t>
  </si>
  <si>
    <t>Hotel guest room</t>
  </si>
  <si>
    <t>Accessible roof</t>
  </si>
  <si>
    <t>Medical / X-ray</t>
  </si>
  <si>
    <t>Office</t>
  </si>
  <si>
    <t>Classroom</t>
  </si>
  <si>
    <t>Laboratory</t>
  </si>
  <si>
    <t>Car Park</t>
  </si>
  <si>
    <t>Balcony / terrace</t>
  </si>
  <si>
    <t>Data / electrical</t>
  </si>
  <si>
    <t>Cafe / Restaurant</t>
  </si>
  <si>
    <t>Shop</t>
  </si>
  <si>
    <t>Retail / market</t>
  </si>
  <si>
    <t>Hall / assembly</t>
  </si>
  <si>
    <t>Sports hall</t>
  </si>
  <si>
    <t>Exhibition / gallery</t>
  </si>
  <si>
    <t>Refuge floor</t>
  </si>
  <si>
    <t>Library</t>
  </si>
  <si>
    <t>Roof garden</t>
  </si>
  <si>
    <t>Light workshop</t>
  </si>
  <si>
    <t>E&amp;M</t>
  </si>
  <si>
    <t>Plant room</t>
  </si>
  <si>
    <t>Stage / TV studio</t>
  </si>
  <si>
    <t>Medium workshop</t>
  </si>
  <si>
    <t>Storage / warehouse</t>
  </si>
  <si>
    <t>Traffic / loading</t>
  </si>
  <si>
    <t>Heavy vehicles</t>
  </si>
  <si>
    <t>Industrial</t>
  </si>
  <si>
    <t>Supercomputing</t>
  </si>
  <si>
    <t>Aircraft hangar</t>
  </si>
  <si>
    <t>Swimming pool / tank</t>
  </si>
  <si>
    <t>Landscape / lawn</t>
  </si>
  <si>
    <t>Unspecified</t>
  </si>
  <si>
    <t>iv) Column C1 — column loading and capacity check</t>
  </si>
  <si>
    <t>Column ID</t>
  </si>
  <si>
    <t>C1</t>
  </si>
  <si>
    <t>Gross area Ag (mm²)</t>
  </si>
  <si>
    <t>Steel area As (mm²)</t>
  </si>
  <si>
    <t>Concrete area Ac (mm²)</t>
  </si>
  <si>
    <t>Concrete fcu (N/mm²)</t>
  </si>
  <si>
    <t>Capacity formula</t>
  </si>
  <si>
    <t>0.35 fcu Ac + 0.67 fy As</t>
  </si>
  <si>
    <t>Steel fy (N/mm²)</t>
  </si>
  <si>
    <t>Capacity units</t>
  </si>
  <si>
    <t>N ÷ 1000 = kN</t>
  </si>
  <si>
    <t>Steel ratio (%)</t>
  </si>
  <si>
    <t>Wind / project factor</t>
  </si>
  <si>
    <t>Dead load factor γG</t>
  </si>
  <si>
    <t>Imposed load factor γQ</t>
  </si>
  <si>
    <t>ii) Beam / Slab member sizing — deflection check</t>
  </si>
  <si>
    <t>b) Member Sizing — Deflection Check for Beam / Slab</t>
  </si>
  <si>
    <t>Member</t>
  </si>
  <si>
    <t>Type</t>
  </si>
  <si>
    <t>Span (m)</t>
  </si>
  <si>
    <t>Span / Depth</t>
  </si>
  <si>
    <t>Limit</t>
  </si>
  <si>
    <t>Check</t>
  </si>
  <si>
    <t>SB1</t>
  </si>
  <si>
    <t>Beam</t>
  </si>
  <si>
    <t>MB1</t>
  </si>
  <si>
    <t>S1</t>
  </si>
  <si>
    <t>Slab</t>
  </si>
  <si>
    <t>CB1</t>
  </si>
  <si>
    <t>Cantilever Beam</t>
  </si>
  <si>
    <t>CS1</t>
  </si>
  <si>
    <t>Cantilever Slab</t>
  </si>
  <si>
    <t>Calculation write-up</t>
  </si>
  <si>
    <t>Member / depth</t>
  </si>
  <si>
    <t>Calculation</t>
  </si>
  <si>
    <t>Result</t>
  </si>
  <si>
    <t>Actual Deflection Check in Section B. The highlighted lines are a preliminary span/depth screening check.</t>
  </si>
  <si>
    <t>HK Concrete Code 2013 (2020 Edition), Table 7.3 and clause 7.3.4.3: cantilever solid slab and rectangular beam basic span/effective-depth ratio = 7; cantilever flanged beam with bw/bf ≤ 0.3 uses 5.5 (overwrite Limit if applicable); cantilevers over 10 m require justification by calculation.</t>
  </si>
  <si>
    <t>Official source: https://www.bd.gov.hk/doc/en/resources/codes-and-references/code-and-design-manuals/CoP_SUC2013e.pdf</t>
  </si>
  <si>
    <t>Auto width b (mm)</t>
  </si>
  <si>
    <t>Auto depth h (mm)</t>
  </si>
  <si>
    <t>Column load accumulation</t>
  </si>
  <si>
    <t>Floor</t>
  </si>
  <si>
    <t>Usage</t>
  </si>
  <si>
    <t>D.L. (kPa)</t>
  </si>
  <si>
    <t>L.L. (kPa)</t>
  </si>
  <si>
    <t>Tributary Area (m²)</t>
  </si>
  <si>
    <t>No. of Floors</t>
  </si>
  <si>
    <t>Factored Load (kN)</t>
  </si>
  <si>
    <t>LL group key (auto)</t>
  </si>
  <si>
    <t>R/F</t>
  </si>
  <si>
    <t>6/F</t>
  </si>
  <si>
    <t>5/F</t>
  </si>
  <si>
    <t>1/F–4/F</t>
  </si>
  <si>
    <t>G/F</t>
  </si>
  <si>
    <t>B1/F–B2/F</t>
  </si>
  <si>
    <t>Σ</t>
  </si>
  <si>
    <t>Design Column Load = Σ floor load × wind / project factor</t>
  </si>
  <si>
    <t>kN</t>
  </si>
  <si>
    <t>Column Capacity = 0.35 fcu Ac + 0.67 fy As</t>
  </si>
  <si>
    <t>Utilisation = Design Column Load / Column Capacity</t>
  </si>
  <si>
    <t>∴ Result</t>
  </si>
  <si>
    <t>L.L. source and usage aliases are on Sheet 1. Official source: https://www.bd.gov.hk/doc/en/resources/codes-and-references/code-and-design-manuals/DIL2011e.pdf</t>
  </si>
  <si>
    <t>iv) Transfer Beam input and check</t>
  </si>
  <si>
    <t>Dynamic P-position sketch — select input row</t>
  </si>
  <si>
    <t>P1 (kN)</t>
  </si>
  <si>
    <t>a1 from left (m)</t>
  </si>
  <si>
    <t>P2 (kN)</t>
  </si>
  <si>
    <t>a2 from left (m)</t>
  </si>
  <si>
    <t>P3 (kN)</t>
  </si>
  <si>
    <t>a3 from left (m)</t>
  </si>
  <si>
    <t>P4 (kN)</t>
  </si>
  <si>
    <t>a4 from left (m)</t>
  </si>
  <si>
    <t>P5 (kN)</t>
  </si>
  <si>
    <t>a5 from left (m)</t>
  </si>
  <si>
    <t>UDL w (kN/m)</t>
  </si>
  <si>
    <t>S/D Check</t>
  </si>
  <si>
    <t>Load / Shear Check</t>
  </si>
  <si>
    <t>Sketch source row</t>
  </si>
  <si>
    <t>Floors</t>
  </si>
  <si>
    <t>Transfer Beam calculation write-up</t>
  </si>
  <si>
    <t>Member / size</t>
  </si>
  <si>
    <t>Overall Check</t>
  </si>
  <si>
    <t>Preliminary Structural Design Appraisal Notes</t>
  </si>
  <si>
    <t>Source: Design_Appraisal_Notes.docx</t>
  </si>
  <si>
    <t>1 Introduction</t>
  </si>
  <si>
    <t>A XXXX is to be designed.</t>
  </si>
  <si>
    <t>It is located on XXXX.</t>
  </si>
  <si>
    <t>2 Design Appraisal</t>
  </si>
  <si>
    <t>2.1 Floor Summary</t>
  </si>
  <si>
    <t>Floor Height (m)</t>
  </si>
  <si>
    <t>Headroom (m)</t>
  </si>
  <si>
    <t>EM Zone (m)</t>
  </si>
  <si>
    <t>Structural Zone (m)</t>
  </si>
  <si>
    <t>2.2 Design Assumptions</t>
  </si>
  <si>
    <t>2.3 Site Constraints and Client Requirements</t>
  </si>
  <si>
    <t>Site Constraint / Client's Requirement</t>
  </si>
  <si>
    <t>Design Implications</t>
  </si>
  <si>
    <t>1  Located in urban area.</t>
  </si>
  <si>
    <t>- Logistics might be affected by traffic jam.
- Vibration and construction noise to be minimized.</t>
  </si>
  <si>
    <t>2  Adjoining 3-storey old R.C. building with shallow foundation.</t>
  </si>
  <si>
    <t>- Vibration to be minimized and settlement to be controlled during piling and ELS.</t>
  </si>
  <si>
    <t>3  Basement with high groundwater table.</t>
  </si>
  <si>
    <t>- Dewatering is needed during ELS.
- Pre-grouting is proposed to minimize settlement.
- Stability to be checked carefully for uplift and overturning.</t>
  </si>
  <si>
    <t>- Design for the highest possible G.W.T.</t>
  </si>
  <si>
    <t>5  Column-free zone of Cinema and Atrium.</t>
  </si>
  <si>
    <t>- Design to suit.</t>
  </si>
  <si>
    <t>6  Column minimum spacing 8 m c/c at shop portion.</t>
  </si>
  <si>
    <t>7  No requirement of E&amp;M floor and roof.</t>
  </si>
  <si>
    <t>8  2 HR F.R.R. for superstructure / 4 HR F.R.R. for basement.</t>
  </si>
  <si>
    <t>Enter member dimensions, column tributary areas or Transfer Beam inputs, then click Generate / update copy.</t>
  </si>
  <si>
    <t>P arrows follow their actual a / L positions. Select input row above; edit P and a in the input table.</t>
    <phoneticPr fontId="10" type="noConversion"/>
  </si>
  <si>
    <t>S.D.L. (kPa)</t>
    <phoneticPr fontId="10" type="noConversion"/>
  </si>
  <si>
    <t>Assumptions: factored floor load = Area x Floors x [gammaG x (DL + SDL) + gammaQ x LL]. SDL is additional to DL; blank SDL = 0. Wind/project factor is applied after summing. The existing column capacity check is unchanged.</t>
    <phoneticPr fontId="10" type="noConversion"/>
  </si>
  <si>
    <t>B (m)</t>
    <phoneticPr fontId="10" type="noConversion"/>
  </si>
  <si>
    <t>D (m)</t>
    <phoneticPr fontId="10" type="noConversion"/>
  </si>
  <si>
    <t>Support condition</t>
  </si>
  <si>
    <t>Support condition</t>
    <phoneticPr fontId="10" type="noConversion"/>
  </si>
  <si>
    <t>End span</t>
  </si>
  <si>
    <t>Cantilever</t>
  </si>
  <si>
    <t>Simply-supported</t>
  </si>
  <si>
    <t>Continuous</t>
  </si>
  <si>
    <t>Limits from the supplied support-condition table.</t>
  </si>
  <si>
    <t>Beam width bw (m)</t>
    <phoneticPr fontId="10" type="noConversion"/>
  </si>
  <si>
    <t>Beam condition</t>
    <phoneticPr fontId="10" type="noConversion"/>
  </si>
  <si>
    <t>Transfer Column Loading - multiple floors per TC</t>
  </si>
  <si>
    <t>TC ID</t>
  </si>
  <si>
    <t>DL</t>
  </si>
  <si>
    <t>SDL</t>
  </si>
  <si>
    <t>LL</t>
  </si>
  <si>
    <t>B (m)</t>
  </si>
  <si>
    <t>D (m)</t>
  </si>
  <si>
    <t>Area</t>
  </si>
  <si>
    <t>Floor Load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</si>
  <si>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</si>
  <si>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</si>
  <si>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</si>
  <si>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</si>
  <si>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</si>
  <si>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</si>
  <si>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</si>
  <si>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</si>
  <si>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</si>
  <si>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</si>
  <si>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</si>
  <si>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</si>
  <si>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</si>
  <si>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</si>
  <si>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</si>
  <si>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</si>
  <si>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</si>
  <si>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</si>
  <si>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</si>
  <si>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</si>
  <si>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</si>
  <si>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</si>
  <si>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</si>
  <si>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</si>
  <si>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</si>
  <si>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</si>
  <si>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</si>
  <si>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</si>
  <si>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</si>
  <si>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</si>
  <si>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</si>
  <si>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</si>
  <si>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</si>
  <si>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</si>
  <si>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</si>
  <si>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</si>
  <si>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</si>
  <si>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</si>
  <si>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</si>
  <si>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</si>
  <si>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</si>
  <si>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</si>
  <si>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</si>
  <si>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</si>
  <si>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</si>
  <si>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</si>
  <si>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</si>
  <si>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</si>
  <si>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</si>
  <si>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</si>
  <si>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</si>
  <si>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</si>
  <si>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</si>
  <si>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</si>
  <si>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</si>
  <si>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</si>
  <si>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</si>
  <si>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</si>
  <si>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</si>
  <si>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</si>
  <si>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</si>
  <si>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</si>
  <si>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</si>
  <si>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</si>
  <si>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</si>
  <si>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</si>
  <si>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</si>
  <si>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</si>
  <si>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</si>
  <si>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</si>
  <si>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</si>
  <si>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</si>
  <si>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</si>
  <si>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</si>
  <si>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</si>
  <si>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</si>
  <si>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</si>
  <si>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</si>
  <si>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</si>
  <si>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</si>
  <si>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</si>
  <si>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</si>
  <si>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</si>
  <si>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</si>
  <si>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</si>
  <si>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</si>
  <si>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</si>
  <si>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</si>
  <si>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</si>
  <si>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</si>
  <si>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</si>
  <si>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</si>
  <si>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</si>
  <si>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</si>
  <si>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</si>
  <si>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</si>
  <si>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</si>
  <si>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</si>
  <si>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</si>
  <si>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</si>
  <si>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Input row</t>
  </si>
  <si>
    <t>P1 TC ID</t>
  </si>
  <si>
    <t>P2 TC ID</t>
  </si>
  <si>
    <t>P3 TC ID</t>
  </si>
  <si>
    <t>P4 TC ID</t>
  </si>
  <si>
    <t>P5 TC ID</t>
  </si>
  <si>
    <t>4  Adopt design groundwater table at +6 mPD.</t>
    <phoneticPr fontId="10" type="noConversion"/>
  </si>
  <si>
    <t>TC load summary - optional manual override</t>
    <phoneticPr fontId="10" type="noConversion"/>
  </si>
  <si>
    <t>手动荷载：输入已分项的总荷载 kN，覆盖自动合计（不相加、不再乘系数）。清空手动值即可恢复自动合计。</t>
  </si>
  <si>
    <t>Adopted P (kN)</t>
    <phoneticPr fontId="10" type="noConversion"/>
  </si>
  <si>
    <t>Auto total (kN)</t>
  </si>
  <si>
    <t>Manual P (kN)</t>
  </si>
  <si>
    <t>Load source</t>
  </si>
  <si>
    <t>UDL calculation - additional floor area distributed over the full beam span</t>
  </si>
  <si>
    <t>DL (kPa)</t>
  </si>
  <si>
    <t>LL (kPa)</t>
  </si>
  <si>
    <t>Area (m²)</t>
  </si>
  <si>
    <t>Span L (m)</t>
  </si>
  <si>
    <t>Total load (kN)</t>
  </si>
  <si>
    <t>UDL (kN/m)</t>
  </si>
  <si>
    <t>Assume all R.C. Structure adopted C45   except Transfer Beam &amp; Column</t>
    <phoneticPr fontId="10" type="noConversion"/>
  </si>
  <si>
    <t>Steel Structure use S355 grade.</t>
    <phoneticPr fontId="10" type="noConversion"/>
  </si>
  <si>
    <t>Assume all R.C. Structure adopt D.L. 10 kPa.</t>
    <phoneticPr fontId="10" type="noConversion"/>
  </si>
  <si>
    <t>Steel Structure adopt D.L. 7 kPa.</t>
    <phoneticPr fontId="10" type="noConversion"/>
  </si>
  <si>
    <t>Feasibility Checking</t>
  </si>
  <si>
    <t>Concrete Grade fcu (N/mm²)</t>
  </si>
  <si>
    <t>Cinema retained from previous TC dropdown; confirm applicable imposed load and enter LL manually.</t>
  </si>
  <si>
    <t>m</t>
  </si>
  <si>
    <t>mm</t>
  </si>
  <si>
    <t>Overall depth h</t>
  </si>
  <si>
    <t>Concrete grade fcu</t>
  </si>
  <si>
    <t>N/mm²</t>
  </si>
  <si>
    <t>kN/m</t>
  </si>
  <si>
    <t>P1</t>
  </si>
  <si>
    <t>P2</t>
  </si>
  <si>
    <t>P3</t>
  </si>
  <si>
    <t>P4</t>
  </si>
  <si>
    <t>P5</t>
  </si>
  <si>
    <t>kNm</t>
  </si>
  <si>
    <t>no.</t>
  </si>
  <si>
    <t>K</t>
  </si>
  <si>
    <t>z</t>
  </si>
  <si>
    <t>x</t>
  </si>
  <si>
    <t>fsc</t>
  </si>
  <si>
    <t>mm²</t>
  </si>
  <si>
    <t>Provided tension steel</t>
  </si>
  <si>
    <t>Provided compression steel</t>
  </si>
  <si>
    <t>Link diameter</t>
  </si>
  <si>
    <t>Number of link legs</t>
  </si>
  <si>
    <t>Maximum shear stress</t>
  </si>
  <si>
    <t>Required link area / spacing</t>
  </si>
  <si>
    <t>mm²/mm</t>
  </si>
  <si>
    <t>Provided link area / spacing</t>
  </si>
  <si>
    <t>Basic span / depth ratio</t>
  </si>
  <si>
    <t>Tension modification factor</t>
  </si>
  <si>
    <t>Compression modification factor</t>
  </si>
  <si>
    <t>Long-span factor</t>
  </si>
  <si>
    <t>Span / depth check</t>
  </si>
  <si>
    <t>https://www.bd.gov.hk/doc/en/resources/codes-and-references/code-and-design-manuals/CoP_SUC2013e.pdf</t>
  </si>
  <si>
    <t>Source input row</t>
  </si>
  <si>
    <t>Span L</t>
  </si>
  <si>
    <t>Beam width b</t>
  </si>
  <si>
    <t>Main steel fy</t>
  </si>
  <si>
    <t>Link steel fyv</t>
  </si>
  <si>
    <t>Cover to outside of links</t>
  </si>
  <si>
    <t>Manual input.</t>
  </si>
  <si>
    <t>Main bar diameter</t>
  </si>
  <si>
    <t>Maximum bars per layer</t>
  </si>
  <si>
    <t>INT(b/100), as requested. Actual fit is checked below.</t>
  </si>
  <si>
    <t>Concrete shear resistance vc</t>
  </si>
  <si>
    <t>Link longitudinal spacing</t>
  </si>
  <si>
    <t>Load model</t>
  </si>
  <si>
    <t>Input validity</t>
  </si>
  <si>
    <t>Adopted factored UDL w</t>
  </si>
  <si>
    <t>Direct from source; not refactored. Verify beam self-weight is included.</t>
  </si>
  <si>
    <t>P (kN)</t>
  </si>
  <si>
    <t>a (m)</t>
  </si>
  <si>
    <t>b = L-a (m)</t>
  </si>
  <si>
    <t>Left reaction R_A</t>
  </si>
  <si>
    <t>Interval start</t>
  </si>
  <si>
    <t>Interval end</t>
  </si>
  <si>
    <t>Critical x</t>
  </si>
  <si>
    <t>Moment (kNm)</t>
  </si>
  <si>
    <t>Right reaction R_B</t>
  </si>
  <si>
    <t>Maximum support shear V</t>
  </si>
  <si>
    <t>Maximum sagging moment M</t>
  </si>
  <si>
    <t>Critical moment position x</t>
  </si>
  <si>
    <t>Limiting moment coefficient K′</t>
  </si>
  <si>
    <t>Method range</t>
  </si>
  <si>
    <t>No redistribution. This implementation supports fcu up to 60.</t>
  </si>
  <si>
    <t>Effective depth d</t>
  </si>
  <si>
    <t>Compression steel depth d′</t>
  </si>
  <si>
    <t>Required tension steel As</t>
  </si>
  <si>
    <t>Includes rectangular-beam minimum 0.13% b h.</t>
  </si>
  <si>
    <t>Required compression steel As′</t>
  </si>
  <si>
    <t>Total tension bars</t>
  </si>
  <si>
    <t>Total compression bars</t>
  </si>
  <si>
    <t>Tension layers</t>
  </si>
  <si>
    <t>layers</t>
  </si>
  <si>
    <t>Compression layers</t>
  </si>
  <si>
    <t>Iteration validity</t>
  </si>
  <si>
    <t>Moment coefficient K</t>
  </si>
  <si>
    <t>Lever arm z</t>
  </si>
  <si>
    <t>Neutral axis depth x</t>
  </si>
  <si>
    <t>Compression steel stress fsc</t>
  </si>
  <si>
    <t>Tension steel ratio</t>
  </si>
  <si>
    <t>Minimum horizontal clear gap</t>
  </si>
  <si>
    <t>Clear gap between steel groups</t>
  </si>
  <si>
    <t>Bending and bar-fit check</t>
  </si>
  <si>
    <t>Shear stress v</t>
  </si>
  <si>
    <t>Minimum links shear stress vr</t>
  </si>
  <si>
    <t>Shear check</t>
  </si>
  <si>
    <t>Actual L/d</t>
  </si>
  <si>
    <t>Allowable L/d</t>
  </si>
  <si>
    <t>Check anchorage, lap zones, side bars, maximum horizontal bar spacing, link detailing and deep-beam applicability separately.</t>
  </si>
  <si>
    <t>Source UDL is adopted unchanged. Include self-weight once in the source loading; no additional load factor is applied here.</t>
  </si>
  <si>
    <t>Code basis: HK concrete code 2013 (2020), 6.1.2.4(b), 6.1.2.5, 8.2, 9.2.1.1 and 9.2.1.3 (4% limits).</t>
  </si>
  <si>
    <t>Pass</t>
  </si>
  <si>
    <t>d in</t>
  </si>
  <si>
    <t>d′ in</t>
  </si>
  <si>
    <t>As′ req</t>
  </si>
  <si>
    <t>As req</t>
  </si>
  <si>
    <t>Tension n</t>
  </si>
  <si>
    <t>Comp n</t>
  </si>
  <si>
    <t>T layers</t>
  </si>
  <si>
    <t>C layers</t>
  </si>
  <si>
    <t>T full</t>
  </si>
  <si>
    <t>T rem</t>
  </si>
  <si>
    <t>C full</t>
  </si>
  <si>
    <t>C rem</t>
  </si>
  <si>
    <t>d out</t>
  </si>
  <si>
    <t>d′ out</t>
  </si>
  <si>
    <t>Group gap</t>
  </si>
  <si>
    <t>Change</t>
  </si>
  <si>
    <t>State</t>
  </si>
  <si>
    <t>Redistribution beta_b</t>
  </si>
  <si>
    <t>Mid-span M (kNm)</t>
  </si>
  <si>
    <t>Mid-span K</t>
  </si>
  <si>
    <t>Mid-span z (mm)</t>
  </si>
  <si>
    <t>Mid-span x (mm)</t>
  </si>
  <si>
    <t>Compression stress (N/mm2)</t>
  </si>
  <si>
    <t>Mid-span As req comp (mm2)</t>
  </si>
  <si>
    <t>Mid-span As req tension (mm2)</t>
  </si>
  <si>
    <t>Service stress fs (N/mm2)</t>
  </si>
  <si>
    <t>M / bd2 (N/mm2)</t>
  </si>
  <si>
    <t>100 As prov comp / bd</t>
  </si>
  <si>
    <t>Tension factor MFt</t>
  </si>
  <si>
    <t>Compression factor MFc</t>
  </si>
  <si>
    <t>Factor status</t>
  </si>
  <si>
    <t>Deflection modification factors — automatic</t>
  </si>
  <si>
    <t>Automatic: Table 7.4 equation. Working at G57:K78.</t>
  </si>
  <si>
    <t>Automatic: Table 7.5 equation. Reference tables at G160:P192.</t>
  </si>
  <si>
    <t>fs = (2 fy / 3) x As,req / As,prov / beta_b</t>
  </si>
  <si>
    <t>MFt = min(2, 0.55 + (477-fs) / [120(0.9+M/bd2)])</t>
  </si>
  <si>
    <t>MFc = min(1.5, 1 + p / (3+p)); p = 100 As,comp / bd</t>
  </si>
  <si>
    <t>Mid-span section; beta_b = 1. Assumes provided bars continue through mid-span.</t>
  </si>
  <si>
    <t>Use table equations without intermediate rounding. Reference tables below.</t>
  </si>
  <si>
    <t>Table 7.4 — Modification factor for tension reinforcement</t>
    <phoneticPr fontId="10" type="noConversion"/>
  </si>
  <si>
    <t>Columns: M/bd2 (N/mm2). Rows: service stress fs (N/mm2).</t>
    <phoneticPr fontId="10" type="noConversion"/>
  </si>
  <si>
    <t>fs / M/bd2</t>
    <phoneticPr fontId="10" type="noConversion"/>
  </si>
  <si>
    <t>Table 7.5 — Modification factor for compression reinforcement</t>
    <phoneticPr fontId="10" type="noConversion"/>
  </si>
  <si>
    <t>100 As,comp / bd</t>
    <phoneticPr fontId="10" type="noConversion"/>
  </si>
  <si>
    <t>Factor</t>
    <phoneticPr fontId="10" type="noConversion"/>
  </si>
  <si>
    <t>At a compression ratio of 3 or more, MFc = 1.50.</t>
    <phoneticPr fontId="10" type="noConversion"/>
  </si>
  <si>
    <t>Tabulated values are rounded; adopted factors use the table equations.</t>
    <phoneticPr fontId="10" type="noConversion"/>
  </si>
  <si>
    <t>Source: HK Code of Practice for Structural Use of Concrete 2013 (2020), Tables 7.4 and 7.5.</t>
    <phoneticPr fontId="10" type="noConversion"/>
  </si>
  <si>
    <t>https://www.bd.gov.hk/doc/en/resources/codes-and-references/code-and-design-manuals/CoP_SUC2013e.pdf</t>
    <phoneticPr fontId="10" type="noConversion"/>
  </si>
  <si>
    <t>Automatic: maximum tension bars in one layer. Detail the same number of effective vertical link legs.</t>
  </si>
  <si>
    <t>Area / geometric bar-fit checks only. Aggregate-related clear spacing, anchorage and reinforcement detailing require separate verification.</t>
    <phoneticPr fontId="10" type="noConversion"/>
  </si>
  <si>
    <t>Automatic vc: Table 6.3. Assumes the provided tension steel is developed / anchored at the shear section. C25-C60.</t>
    <phoneticPr fontId="10" type="noConversion"/>
  </si>
  <si>
    <t>vc = 0.79/1.25 x min(3,100As/bd)^(1/3) x depth factor x (fcu/25)^(1/3)</t>
  </si>
  <si>
    <t>Depth factor: max(1,(400/d)^0.25) with minimum links; otherwise max(0.67,(400/d)^0.25).</t>
  </si>
  <si>
    <t>No aggregate-size input. Verify aggregate spacing, anchorage, transverse link arrangement and deep-beam applicability separately.</t>
  </si>
  <si>
    <t>SDL (kPa)</t>
  </si>
  <si>
    <t>UDL = B x D x [1.4 x (DL + SDL) + 1.6 x LL] / L. SDL blank = 0. B and D are tributary floor dimensions. Include only additional floor loading not already included in TC loads.</t>
    <phoneticPr fontId="10" type="noConversion"/>
  </si>
  <si>
    <t>Column width b (mm)</t>
  </si>
  <si>
    <t>Column depth h (mm)</t>
  </si>
  <si>
    <t>Effective length factor (both axes)</t>
  </si>
  <si>
    <t>Effective length lex (mm)</t>
  </si>
  <si>
    <t>Effective length ley (mm)</t>
  </si>
  <si>
    <t>Concrete fcu (N/mm2)</t>
  </si>
  <si>
    <t>Steel fy (N/mm2)</t>
  </si>
  <si>
    <t>Target steel ratio (%)</t>
  </si>
  <si>
    <t>Dead load factor</t>
  </si>
  <si>
    <t>Live load factor</t>
  </si>
  <si>
    <t>Total DL + SDL (kN)</t>
  </si>
  <si>
    <t>Total LL (kN)</t>
  </si>
  <si>
    <t>N ULS (kN)</t>
  </si>
  <si>
    <t>Gross area Ag (mm2)</t>
  </si>
  <si>
    <t>Required / target steel As (mm2)</t>
  </si>
  <si>
    <t>Selected main bar diameter (mm)</t>
  </si>
  <si>
    <t>Number of bars</t>
  </si>
  <si>
    <t>Provided steel As (mm2)</t>
  </si>
  <si>
    <t>Actual steel ratio (%)</t>
  </si>
  <si>
    <t>Axial capacity (kN)</t>
  </si>
  <si>
    <t>lex / h</t>
  </si>
  <si>
    <t>ley / b</t>
  </si>
  <si>
    <t>Short-column classification</t>
  </si>
  <si>
    <t>Source loading status</t>
  </si>
  <si>
    <t>Steel area check</t>
  </si>
  <si>
    <t>Axial capacity check</t>
  </si>
  <si>
    <t>Floor-height completeness</t>
  </si>
  <si>
    <t>Column steel candidates — priority T32, T25, T40</t>
  </si>
  <si>
    <t>Dia</t>
  </si>
  <si>
    <t>Bars</t>
  </si>
  <si>
    <t>As (mm2)</t>
  </si>
  <si>
    <t>Ratio (%)</t>
  </si>
  <si>
    <t>Area check</t>
  </si>
  <si>
    <t>Total DL+SDL</t>
  </si>
  <si>
    <t>Total LL</t>
  </si>
  <si>
    <t>Active</t>
  </si>
  <si>
    <t>Input check</t>
  </si>
  <si>
    <t>Source row</t>
  </si>
  <si>
    <t>Detailed reinforcement iteration (expand + to inspect formulas)</t>
    <phoneticPr fontId="10" type="noConversion"/>
  </si>
  <si>
    <t>Column loading calculations (expand + to inspect)</t>
  </si>
  <si>
    <t>Braced</t>
  </si>
  <si>
    <t>Adopted column height L (mm)</t>
    <phoneticPr fontId="10" type="noConversion"/>
  </si>
  <si>
    <t>Yellow: input. Gray: automatic. Enable macros for automatic updates.</t>
    <phoneticPr fontId="10" type="noConversion"/>
  </si>
  <si>
    <t>Automatic: T10/T12/T16, at 200/150/100 mm spacing.</t>
    <phoneticPr fontId="10" type="noConversion"/>
  </si>
  <si>
    <t>Automatic: T16, T20, T25, T32, T40; multi-layer T40 if needed.</t>
    <phoneticPr fontId="10" type="noConversion"/>
  </si>
  <si>
    <t>Automatic link spacing. Changes to inputs trigger selection.</t>
    <phoneticPr fontId="10" type="noConversion"/>
  </si>
  <si>
    <t>Checks and diagram update automatically. Copy updates by its button only.</t>
    <phoneticPr fontId="10" type="noConversion"/>
  </si>
  <si>
    <t>L/d ratio only. M/V and modification factors retain the simply supported model.</t>
  </si>
  <si>
    <t>Column system override</t>
    <phoneticPr fontId="10" type="noConversion"/>
  </si>
  <si>
    <t>Effective length factor override</t>
    <phoneticPr fontId="10" type="noConversion"/>
  </si>
  <si>
    <t>Adopted column system</t>
  </si>
  <si>
    <t>Blank = Braced. Unbraced requires a separate design method.</t>
    <phoneticPr fontId="10" type="noConversion"/>
  </si>
  <si>
    <t>Automatic value used by the calculation and Section B copy.</t>
  </si>
  <si>
    <t>Source range</t>
  </si>
  <si>
    <t>Populated floors</t>
  </si>
  <si>
    <t>Valid heights</t>
  </si>
  <si>
    <t>Default height (mm)</t>
  </si>
  <si>
    <t>Floors not in copy</t>
  </si>
  <si>
    <t>Only rows with B, D or Area entered are included. Untouched rows are ignored; partly completed rows require attention.</t>
  </si>
  <si>
    <t>Tension clear layer gap</t>
    <phoneticPr fontId="10" type="noConversion"/>
  </si>
  <si>
    <t>Reference rule: tension = max(main diameter, 25 mm); compression = main diameter.</t>
  </si>
  <si>
    <t>Reference method: arithmetic mean of occupied layer depths, not area-weighted.</t>
  </si>
  <si>
    <t>Unequal layer areas: reference average differs from the actual steel centroid.</t>
  </si>
  <si>
    <t>T mean depth</t>
    <phoneticPr fontId="10" type="noConversion"/>
  </si>
  <si>
    <t>C mean depth</t>
    <phoneticPr fontId="10" type="noConversion"/>
  </si>
  <si>
    <t>Longitudinal reinforcement - reference layout</t>
  </si>
  <si>
    <t>TOP</t>
    <phoneticPr fontId="28" type="noConversion"/>
  </si>
  <si>
    <t>BOTTOM</t>
    <phoneticPr fontId="28" type="noConversion"/>
  </si>
  <si>
    <t>SIDE BAR</t>
    <phoneticPr fontId="40" type="noConversion"/>
  </si>
  <si>
    <t>Remark: max number of bar = 14</t>
    <phoneticPr fontId="28" type="noConversion"/>
  </si>
  <si>
    <t>Top</t>
    <phoneticPr fontId="28" type="noConversion"/>
  </si>
  <si>
    <t>Bottom</t>
    <phoneticPr fontId="28" type="noConversion"/>
  </si>
  <si>
    <t>Remark: max number of side bar = 10</t>
    <phoneticPr fontId="28" type="noConversion"/>
  </si>
  <si>
    <t>max bar side</t>
    <phoneticPr fontId="40" type="noConversion"/>
  </si>
  <si>
    <t>Beam Mark:</t>
    <phoneticPr fontId="28" type="noConversion"/>
  </si>
  <si>
    <t>max link space</t>
    <phoneticPr fontId="40" type="noConversion"/>
  </si>
  <si>
    <t>side bar space</t>
    <phoneticPr fontId="40" type="noConversion"/>
  </si>
  <si>
    <t>max steel area</t>
    <phoneticPr fontId="40" type="noConversion"/>
  </si>
  <si>
    <t>Span</t>
    <phoneticPr fontId="28" type="noConversion"/>
  </si>
  <si>
    <t>L</t>
    <phoneticPr fontId="28" type="noConversion"/>
  </si>
  <si>
    <t>=</t>
    <phoneticPr fontId="28" type="noConversion"/>
  </si>
  <si>
    <t>m</t>
    <phoneticPr fontId="28" type="noConversion"/>
  </si>
  <si>
    <t>Eccentricity</t>
    <phoneticPr fontId="28" type="noConversion"/>
  </si>
  <si>
    <t>e</t>
    <phoneticPr fontId="28" type="noConversion"/>
  </si>
  <si>
    <t>Breadth of section</t>
    <phoneticPr fontId="28" type="noConversion"/>
  </si>
  <si>
    <t>b</t>
    <phoneticPr fontId="28" type="noConversion"/>
  </si>
  <si>
    <t>mm</t>
    <phoneticPr fontId="28" type="noConversion"/>
  </si>
  <si>
    <t>Depth of section</t>
    <phoneticPr fontId="28" type="noConversion"/>
  </si>
  <si>
    <t>h</t>
    <phoneticPr fontId="28" type="noConversion"/>
  </si>
  <si>
    <t>Cover</t>
    <phoneticPr fontId="28" type="noConversion"/>
  </si>
  <si>
    <t>c</t>
    <phoneticPr fontId="28" type="noConversion"/>
  </si>
  <si>
    <t>Concrete Grade</t>
    <phoneticPr fontId="28" type="noConversion"/>
  </si>
  <si>
    <t>MPa</t>
    <phoneticPr fontId="28" type="noConversion"/>
  </si>
  <si>
    <t>Bending moment</t>
    <phoneticPr fontId="28" type="noConversion"/>
  </si>
  <si>
    <t>M</t>
    <phoneticPr fontId="28" type="noConversion"/>
  </si>
  <si>
    <t>kNm</t>
    <phoneticPr fontId="28" type="noConversion"/>
  </si>
  <si>
    <t>Shear Force</t>
    <phoneticPr fontId="28" type="noConversion"/>
  </si>
  <si>
    <t>V</t>
    <phoneticPr fontId="28" type="noConversion"/>
  </si>
  <si>
    <t>kN</t>
    <phoneticPr fontId="28" type="noConversion"/>
  </si>
  <si>
    <t>Torsional moment</t>
    <phoneticPr fontId="28" type="noConversion"/>
  </si>
  <si>
    <t>T</t>
    <phoneticPr fontId="28" type="noConversion"/>
  </si>
  <si>
    <t>...Clause 6.1.2.4</t>
    <phoneticPr fontId="28" type="noConversion"/>
  </si>
  <si>
    <t>Effective depth</t>
    <phoneticPr fontId="28" type="noConversion"/>
  </si>
  <si>
    <t>d</t>
    <phoneticPr fontId="28" type="noConversion"/>
  </si>
  <si>
    <t>K</t>
    <phoneticPr fontId="28" type="noConversion"/>
  </si>
  <si>
    <t>...6.7</t>
    <phoneticPr fontId="28" type="noConversion"/>
  </si>
  <si>
    <t>K'</t>
    <phoneticPr fontId="28" type="noConversion"/>
  </si>
  <si>
    <t>…6.8</t>
    <phoneticPr fontId="28" type="noConversion"/>
  </si>
  <si>
    <t>z</t>
    <phoneticPr fontId="28" type="noConversion"/>
  </si>
  <si>
    <t>Required compression steel</t>
    <phoneticPr fontId="28" type="noConversion"/>
  </si>
  <si>
    <t>…6.15</t>
    <phoneticPr fontId="28" type="noConversion"/>
  </si>
  <si>
    <t>Required tension steel</t>
    <phoneticPr fontId="28" type="noConversion"/>
  </si>
  <si>
    <t>As</t>
    <phoneticPr fontId="28" type="noConversion"/>
  </si>
  <si>
    <t>Provide compression steel</t>
    <phoneticPr fontId="28" type="noConversion"/>
  </si>
  <si>
    <t>(second layer)</t>
    <phoneticPr fontId="28" type="noConversion"/>
  </si>
  <si>
    <t>(third layer)</t>
    <phoneticPr fontId="28" type="noConversion"/>
  </si>
  <si>
    <t>(fourth layer)</t>
    <phoneticPr fontId="28" type="noConversion"/>
  </si>
  <si>
    <t>Provide tension steel</t>
    <phoneticPr fontId="28" type="noConversion"/>
  </si>
  <si>
    <t>...Clause 6.1.2.5</t>
    <phoneticPr fontId="28" type="noConversion"/>
  </si>
  <si>
    <t>Shear stress in beam</t>
    <phoneticPr fontId="28" type="noConversion"/>
  </si>
  <si>
    <t>v</t>
    <phoneticPr fontId="28" type="noConversion"/>
  </si>
  <si>
    <t>V / bd</t>
    <phoneticPr fontId="28" type="noConversion"/>
  </si>
  <si>
    <t>...6.19</t>
    <phoneticPr fontId="28" type="noConversion"/>
  </si>
  <si>
    <t>Concrete shear stress</t>
    <phoneticPr fontId="28" type="noConversion"/>
  </si>
  <si>
    <t>…Table6.3</t>
    <phoneticPr fontId="28" type="noConversion"/>
  </si>
  <si>
    <t>Design shear resistance of min. links</t>
    <phoneticPr fontId="28" type="noConversion"/>
  </si>
  <si>
    <t>…Table6.2</t>
    <phoneticPr fontId="28" type="noConversion"/>
  </si>
  <si>
    <t>Required shear links</t>
    <phoneticPr fontId="28" type="noConversion"/>
  </si>
  <si>
    <t>Provide shear links</t>
    <phoneticPr fontId="28" type="noConversion"/>
  </si>
  <si>
    <t>legs</t>
    <phoneticPr fontId="28" type="noConversion"/>
  </si>
  <si>
    <t>...Clause 6.3</t>
    <phoneticPr fontId="28" type="noConversion"/>
  </si>
  <si>
    <t>Torsional shear stress</t>
    <phoneticPr fontId="28" type="noConversion"/>
  </si>
  <si>
    <t>2T</t>
    <phoneticPr fontId="28" type="noConversion"/>
  </si>
  <si>
    <t>MPa</t>
  </si>
  <si>
    <t>...6.65</t>
    <phoneticPr fontId="28" type="noConversion"/>
  </si>
  <si>
    <t>Minimum torsion shear stress</t>
    <phoneticPr fontId="28" type="noConversion"/>
  </si>
  <si>
    <t>…Table6.17</t>
    <phoneticPr fontId="28" type="noConversion"/>
  </si>
  <si>
    <t>Maximum combined shear stress</t>
    <phoneticPr fontId="28" type="noConversion"/>
  </si>
  <si>
    <t>Smaller c/c dimension of link</t>
    <phoneticPr fontId="28" type="noConversion"/>
  </si>
  <si>
    <t>Larger c/c dimension of link</t>
    <phoneticPr fontId="28" type="noConversion"/>
  </si>
  <si>
    <t>…Table6.18</t>
    <phoneticPr fontId="28" type="noConversion"/>
  </si>
  <si>
    <t>Required links</t>
    <phoneticPr fontId="28" type="noConversion"/>
  </si>
  <si>
    <t>Required longitudinal steel</t>
    <phoneticPr fontId="28" type="noConversion"/>
  </si>
  <si>
    <t>Provide torsional links</t>
    <phoneticPr fontId="28" type="noConversion"/>
  </si>
  <si>
    <t>Provide longitudinal steel</t>
    <phoneticPr fontId="28" type="noConversion"/>
  </si>
  <si>
    <t>…Table7.4</t>
    <phoneticPr fontId="28" type="noConversion"/>
  </si>
  <si>
    <t>Modification Factor for Tension Reinforcement</t>
    <phoneticPr fontId="28" type="noConversion"/>
  </si>
  <si>
    <t>Modification Factor for Compression Reinforcement</t>
    <phoneticPr fontId="28" type="noConversion"/>
  </si>
  <si>
    <t>…Table7.5</t>
    <phoneticPr fontId="28" type="noConversion"/>
  </si>
  <si>
    <t>Basic Allowable Span/Depth Ratio</t>
    <phoneticPr fontId="28" type="noConversion"/>
  </si>
  <si>
    <t>Allowable Span/Depth Ratio</t>
    <phoneticPr fontId="28" type="noConversion"/>
  </si>
  <si>
    <t>Actual Span/Depth Ratio</t>
    <phoneticPr fontId="28" type="noConversion"/>
  </si>
  <si>
    <t>L / d</t>
    <phoneticPr fontId="28" type="noConversion"/>
  </si>
  <si>
    <t>M/V: simply supported source model. Verify other supports separately.</t>
    <phoneticPr fontId="10" type="noConversion"/>
  </si>
  <si>
    <t>Reference CoP 2004 basis. Later-code compliance has not been certified.</t>
    <phoneticPr fontId="10" type="noConversion"/>
  </si>
  <si>
    <t>AUTO</t>
    <phoneticPr fontId="10" type="noConversion"/>
  </si>
  <si>
    <t>=MAX(2,MAX(C40:C47))</t>
    <phoneticPr fontId="10" type="noConversion"/>
  </si>
  <si>
    <t>Cover (mm)</t>
  </si>
  <si>
    <t>Additional main reinforcement - layers 5 to 8</t>
  </si>
  <si>
    <t>Depth uses the reference arithmetic mean of occupied layers. Compression gap = min bar dia; tension gap = max(bar dia, 25 mm).</t>
  </si>
  <si>
    <t>Face / layer</t>
  </si>
  <si>
    <t>No.</t>
  </si>
  <si>
    <t>Dia.</t>
  </si>
  <si>
    <t>Layer depth (mm)</t>
  </si>
  <si>
    <t>Compression 5</t>
  </si>
  <si>
    <t>Compression 6</t>
  </si>
  <si>
    <t>Compression 7</t>
  </si>
  <si>
    <t>Compression 8</t>
  </si>
  <si>
    <t>Tension 5</t>
  </si>
  <si>
    <t>Tension 6</t>
  </si>
  <si>
    <t>Tension 7</t>
  </si>
  <si>
    <t>Tension 8</t>
  </si>
  <si>
    <t>Auto: up to 8 layers per face and 4%; clear horizontal gap &gt;= max(bar diameter, 25 mm).</t>
    <phoneticPr fontId="10" type="noConversion"/>
  </si>
  <si>
    <t>Slab Mark</t>
    <phoneticPr fontId="48" type="noConversion"/>
  </si>
  <si>
    <t>=</t>
    <phoneticPr fontId="48" type="noConversion"/>
  </si>
  <si>
    <t>End Condition</t>
    <phoneticPr fontId="48" type="noConversion"/>
  </si>
  <si>
    <t>Concrete Grade</t>
    <phoneticPr fontId="48" type="noConversion"/>
  </si>
  <si>
    <t>Slab Thickness</t>
    <phoneticPr fontId="48" type="noConversion"/>
  </si>
  <si>
    <t>Main Bar size</t>
    <phoneticPr fontId="48" type="noConversion"/>
  </si>
  <si>
    <t>Layer of Main Bar</t>
    <phoneticPr fontId="48" type="noConversion"/>
  </si>
  <si>
    <t>Effective Depth</t>
    <phoneticPr fontId="48" type="noConversion"/>
  </si>
  <si>
    <t>Effective width</t>
    <phoneticPr fontId="48" type="noConversion"/>
  </si>
  <si>
    <t>Loading:</t>
    <phoneticPr fontId="48" type="noConversion"/>
  </si>
  <si>
    <t>Self-weight</t>
    <phoneticPr fontId="48" type="noConversion"/>
  </si>
  <si>
    <t>Impose Load</t>
    <phoneticPr fontId="48" type="noConversion"/>
  </si>
  <si>
    <t>Total unfactor Load</t>
    <phoneticPr fontId="48" type="noConversion"/>
  </si>
  <si>
    <t>Total factor Load</t>
    <phoneticPr fontId="48" type="noConversion"/>
  </si>
  <si>
    <t>Design for tensile Reinforcement:</t>
    <phoneticPr fontId="48" type="noConversion"/>
  </si>
  <si>
    <t xml:space="preserve"> </t>
  </si>
  <si>
    <t>k</t>
    <phoneticPr fontId="48" type="noConversion"/>
  </si>
  <si>
    <t>M</t>
    <phoneticPr fontId="48" type="noConversion"/>
  </si>
  <si>
    <t>z</t>
    <phoneticPr fontId="48" type="noConversion"/>
  </si>
  <si>
    <t>Minimum steel Area</t>
    <phoneticPr fontId="48" type="noConversion"/>
  </si>
  <si>
    <t>So, Required area of  tensile reinforcement     =</t>
    <phoneticPr fontId="48" type="noConversion"/>
  </si>
  <si>
    <t>Provide Tensile Reinfrcement  =</t>
    <phoneticPr fontId="48" type="noConversion"/>
  </si>
  <si>
    <t>@</t>
    <phoneticPr fontId="48" type="noConversion"/>
  </si>
  <si>
    <t>Deflection Checking:</t>
    <phoneticPr fontId="48" type="noConversion"/>
  </si>
  <si>
    <t>Basic L/d ratio</t>
    <phoneticPr fontId="48" type="noConversion"/>
  </si>
  <si>
    <t>(Table 7.3)</t>
    <phoneticPr fontId="48" type="noConversion"/>
  </si>
  <si>
    <t>Modification factor</t>
    <phoneticPr fontId="48" type="noConversion"/>
  </si>
  <si>
    <t>&lt;</t>
    <phoneticPr fontId="48" type="noConversion"/>
  </si>
  <si>
    <t>(Table 7.4)</t>
    <phoneticPr fontId="48" type="noConversion"/>
  </si>
  <si>
    <t>Allowable L/d ratio</t>
    <phoneticPr fontId="48" type="noConversion"/>
  </si>
  <si>
    <t>Actual L/d ratio</t>
    <phoneticPr fontId="48" type="noConversion"/>
  </si>
  <si>
    <t>Check Shear</t>
  </si>
  <si>
    <t>Support model</t>
  </si>
  <si>
    <t>Width of slab strip, b</t>
  </si>
  <si>
    <t>Factored line load, w = q x b / 1000</t>
  </si>
  <si>
    <t>Tension steel at section, As</t>
  </si>
  <si>
    <t>Effective depth, d</t>
  </si>
  <si>
    <t>Steel ratio, 100As / bd (maximum 3)</t>
  </si>
  <si>
    <t>Depth factor, max[0.67, (400/d)^0.25]</t>
  </si>
  <si>
    <t>Concrete shear strength, vc</t>
  </si>
  <si>
    <t>Design shear stress, v = V x 1000 / bd</t>
  </si>
  <si>
    <t>Maximum shear stress, min[0.8 sqrt(fcu), 7]</t>
  </si>
  <si>
    <t>Shear input status</t>
  </si>
  <si>
    <t>As assumes the provided tension bars continue and are adequately anchored at the shear section.</t>
  </si>
  <si>
    <t>vc = (0.79/1.25) (100As/bd)^(1/3) max[0.67,(400/d)^0.25] (min[fcu,80]/25)^(1/3).</t>
  </si>
  <si>
    <t>Shear only; punching shear is not included. Original bending and deflection methods are retained.</t>
  </si>
  <si>
    <t>Source: HK Concrete CoP 2013 (2020), Table 6.3 and clause 6.1.3.5 / Table 6.8.</t>
  </si>
  <si>
    <t>Bending moment</t>
    <phoneticPr fontId="48" type="noConversion"/>
  </si>
  <si>
    <t>Column height (auto / override, mm)</t>
    <phoneticPr fontId="10" type="noConversion"/>
  </si>
  <si>
    <t>Main bar diameter (auto / override, mm)</t>
    <phoneticPr fontId="10" type="noConversion"/>
  </si>
  <si>
    <t>Auto = first passing candidate: T32, T25, T40. Type 32, 25 or 40 to override; clear to restore auto.</t>
    <phoneticPr fontId="10" type="noConversion"/>
  </si>
  <si>
    <t>Not linked. Default = 1.00; enter a factor based on actual end restraint. Effective length = height x factor.</t>
    <phoneticPr fontId="10" type="noConversion"/>
  </si>
  <si>
    <t>Uses C3: linked automatic height or your manual override. Missing source heights are checked in auto mode.</t>
    <phoneticPr fontId="10" type="noConversion"/>
  </si>
  <si>
    <t>Support</t>
  </si>
  <si>
    <t>Cover to outermost reinforcement</t>
  </si>
  <si>
    <t>Fire resistance (hours)</t>
  </si>
  <si>
    <t>Member / support</t>
  </si>
  <si>
    <t>Adopted (mm)</t>
  </si>
  <si>
    <t>Slab SS</t>
  </si>
  <si>
    <t>Slab CON</t>
  </si>
  <si>
    <t>Beam SS</t>
  </si>
  <si>
    <t>Beam CON</t>
  </si>
  <si>
    <t>Column</t>
  </si>
  <si>
    <t>Wall</t>
  </si>
  <si>
    <t>Linked defaults</t>
  </si>
  <si>
    <t>Source support</t>
  </si>
  <si>
    <t>Transfer beam</t>
  </si>
  <si>
    <t>End span is mapped to CON. Cantilever / unknown supports require a manual cover.</t>
  </si>
  <si>
    <t>Values transcribed from the user-supplied cover schedule. Project suitability is not verified here.</t>
  </si>
  <si>
    <t>Span L</t>
    <phoneticPr fontId="48" type="noConversion"/>
  </si>
  <si>
    <t>Span, L = span (mm) / 1000</t>
    <phoneticPr fontId="10" type="noConversion"/>
  </si>
  <si>
    <t>Auto = maximum valid floor height from Section A Copy. Type a value to override; clear to restore auto.</t>
    <phoneticPr fontId="10" type="noConversion"/>
  </si>
  <si>
    <t>Height source - Section A Copy</t>
    <phoneticPr fontId="10" type="noConversion"/>
  </si>
  <si>
    <t>Reinforcement mode</t>
  </si>
  <si>
    <t>Auto</t>
    <phoneticPr fontId="10" type="noConversion"/>
  </si>
  <si>
    <t>INPUT REQUIRED</t>
    <phoneticPr fontId="10" type="noConversion"/>
  </si>
  <si>
    <t>Section B — Section B Main Beam Design</t>
  </si>
  <si>
    <t>AUTO</t>
  </si>
  <si>
    <t>|||40||500|500|||0|23|40|250|150|4|8layers</t>
    <phoneticPr fontId="10" type="noConversion"/>
  </si>
  <si>
    <t>=IF(OR('_MB Analysis'!$I$25&lt;&gt;"OK",COUNT($G$16)&lt;&gt;1,$G$16&lt;0),"",MAX(2,MAX(C40:C47,C110:C117)))</t>
  </si>
  <si>
    <t>MB1|Beam|||End span</t>
    <phoneticPr fontId="10" type="noConversion"/>
  </si>
  <si>
    <t>Section B — Section B Secondary Beam Design</t>
  </si>
  <si>
    <t>=IF(OR('_SB Analysis'!$I$25&lt;&gt;"OK",COUNT($G$16)&lt;&gt;1,$G$16&lt;0),"",MAX(2,MAX(C40:C47,C110:C117)))</t>
  </si>
  <si>
    <t>SECONDARY BEAM CONTROLS</t>
  </si>
  <si>
    <t>Max steel ratio (%)</t>
  </si>
  <si>
    <t>Auto: up to 8 layers per face and 4% steel. Manual steel is retained.</t>
    <phoneticPr fontId="10" type="noConversion"/>
  </si>
  <si>
    <t>Max bar dia. (mm)</t>
    <phoneticPr fontId="10" type="noConversion"/>
  </si>
  <si>
    <t>Max links (mm)</t>
    <phoneticPr fontId="10" type="noConversion"/>
  </si>
  <si>
    <t>Side spacing (mm)</t>
    <phoneticPr fontId="10" type="noConversion"/>
  </si>
  <si>
    <t>Input status</t>
  </si>
  <si>
    <t>Independent design record</t>
    <phoneticPr fontId="10" type="noConversion"/>
  </si>
  <si>
    <t>Reference CoP 2004 calculations. Cover remains linked.</t>
    <phoneticPr fontId="10" type="noConversion"/>
  </si>
  <si>
    <t>Spans over 10 m require a separate deflection calculation.</t>
    <phoneticPr fontId="10" type="noConversion"/>
  </si>
  <si>
    <t>Characteristic loads (unfactored)</t>
  </si>
  <si>
    <t>Left slab</t>
  </si>
  <si>
    <t>Right slab</t>
  </si>
  <si>
    <t>DL excluding self-weight (kPa)</t>
  </si>
  <si>
    <t>Slab thickness t (mm)</t>
  </si>
  <si>
    <t>Span Ls, centre-to-centre (m)</t>
  </si>
  <si>
    <t>Slab reaction model</t>
  </si>
  <si>
    <t>Slab present</t>
  </si>
  <si>
    <t>Auto tributary width = Ls / 2 (m)</t>
  </si>
  <si>
    <t>Slab self-weight (kPa)</t>
  </si>
  <si>
    <t>Density (kN/m3)</t>
  </si>
  <si>
    <t>SLAB-TO-BEAM LINE LOADS (kN/m)</t>
  </si>
  <si>
    <t>Load component</t>
  </si>
  <si>
    <t>Left</t>
  </si>
  <si>
    <t>Right</t>
  </si>
  <si>
    <t>Total</t>
  </si>
  <si>
    <t>Slab self-weight</t>
  </si>
  <si>
    <t>Additional DL</t>
  </si>
  <si>
    <t>Beam self-weight: full b x h</t>
  </si>
  <si>
    <t>Less beam / slab overlap</t>
  </si>
  <si>
    <t>Total dead load Gk</t>
  </si>
  <si>
    <t>Total live load Qk</t>
  </si>
  <si>
    <t>ULS w = 1.4 Gk + 1.6 Qk</t>
  </si>
  <si>
    <t>Design actions</t>
  </si>
  <si>
    <t>Main ID</t>
  </si>
  <si>
    <t>Width b (mm)</t>
  </si>
  <si>
    <t>Total h (mm)</t>
  </si>
  <si>
    <t>Concrete fcu</t>
  </si>
  <si>
    <t>SB SW (kN)</t>
  </si>
  <si>
    <t>SB DL (kN)</t>
  </si>
  <si>
    <t>SB SDL (kN)</t>
  </si>
  <si>
    <t>SB LL (kN)</t>
  </si>
  <si>
    <t>Main SW (kN/m)</t>
  </si>
  <si>
    <t>ULS total (kN)</t>
  </si>
  <si>
    <t>Design M (kNm)</t>
  </si>
  <si>
    <t>Design V (kN)</t>
  </si>
  <si>
    <t>SB ID</t>
  </si>
  <si>
    <t>Side</t>
  </si>
  <si>
    <t>x from Main A (m)</t>
  </si>
  <si>
    <t>SB span L (m)</t>
  </si>
  <si>
    <t>Local left slab</t>
  </si>
  <si>
    <t>Local right slab</t>
  </si>
  <si>
    <t>Left span (m)</t>
  </si>
  <si>
    <t>Right span (m)</t>
  </si>
  <si>
    <t>Left t (mm)</t>
  </si>
  <si>
    <t>Right t (mm)</t>
  </si>
  <si>
    <t>SW UDL (kN/m)</t>
  </si>
  <si>
    <t>DL UDL (kN/m)</t>
  </si>
  <si>
    <t>SDL UDL (kN/m)</t>
  </si>
  <si>
    <t>LL UDL (kN/m)</t>
  </si>
  <si>
    <t>ULS UDL (kN/m)</t>
  </si>
  <si>
    <t>End SW (kN)</t>
  </si>
  <si>
    <t>End DL (kN)</t>
  </si>
  <si>
    <t>End SDL (kN)</t>
  </si>
  <si>
    <t>End LL (kN)</t>
  </si>
  <si>
    <t>Load input status</t>
  </si>
  <si>
    <t>Connection status</t>
  </si>
  <si>
    <t>Slab ID</t>
  </si>
  <si>
    <t>C/L span (m)</t>
  </si>
  <si>
    <t>Thickness (mm)</t>
  </si>
  <si>
    <t>DL excl. SW (kPa)</t>
  </si>
  <si>
    <t>Slab model</t>
  </si>
  <si>
    <t>Slab SW (kPa)</t>
  </si>
  <si>
    <t>None</t>
  </si>
  <si>
    <t>Reserved: no slab on this side</t>
  </si>
  <si>
    <t>Adopted M (kNm)</t>
    <phoneticPr fontId="10" type="noConversion"/>
  </si>
  <si>
    <t>Adopted V (kN)</t>
    <phoneticPr fontId="10" type="noConversion"/>
  </si>
  <si>
    <t>Aligned slab/beam tops. Slab C/L spans; beam-slab overlap deducted. Full-length slab strips only. Torsion and continuous action require separate review.</t>
    <phoneticPr fontId="10" type="noConversion"/>
  </si>
  <si>
    <t>SB1||</t>
    <phoneticPr fontId="10" type="noConversion"/>
  </si>
  <si>
    <t>MB1||</t>
    <phoneticPr fontId="10" type="noConversion"/>
  </si>
  <si>
    <t>SELECTED SLAB DETAILS (READ ONLY)</t>
    <phoneticPr fontId="10" type="noConversion"/>
  </si>
  <si>
    <t>Adopted: UDL + extra points</t>
    <phoneticPr fontId="10" type="noConversion"/>
  </si>
  <si>
    <t>Load factors retained: 1.4G + 1.6Q. SS solver uses equilibrium and moment extrema for UDL + positive point loads. Non-simple secondary beams require separate analysis; manual action inputs removed.</t>
    <phoneticPr fontId="10" type="noConversion"/>
  </si>
  <si>
    <t>Automatic results for selected SB. M/V include Extra Loads points; line UDL totals exclude points. Local left/right is viewed outward from main.</t>
    <phoneticPr fontId="10" type="noConversion"/>
  </si>
  <si>
    <t>SECONDARY BEAM / ONE-WAY SLABS</t>
  </si>
  <si>
    <t>S2</t>
  </si>
  <si>
    <t>S3</t>
  </si>
  <si>
    <t>S4</t>
  </si>
  <si>
    <t>S5</t>
  </si>
  <si>
    <t>S6</t>
  </si>
  <si>
    <t>S7</t>
  </si>
  <si>
    <t>S8</t>
  </si>
  <si>
    <t>S9</t>
  </si>
  <si>
    <t>S10</t>
  </si>
  <si>
    <t>SB2</t>
  </si>
  <si>
    <t>SB3</t>
  </si>
  <si>
    <t>SB4</t>
  </si>
  <si>
    <t>SB5</t>
  </si>
  <si>
    <t>SB6</t>
  </si>
  <si>
    <t>SB7</t>
  </si>
  <si>
    <t>SB8</t>
  </si>
  <si>
    <t>SB9</t>
  </si>
  <si>
    <t>SB10</t>
  </si>
  <si>
    <t>SB11</t>
  </si>
  <si>
    <t>SB12</t>
  </si>
  <si>
    <t>SB13</t>
  </si>
  <si>
    <t>SB14</t>
  </si>
  <si>
    <t>SB15</t>
  </si>
  <si>
    <t>SB16</t>
  </si>
  <si>
    <t>SB17</t>
  </si>
  <si>
    <t>SB18</t>
  </si>
  <si>
    <t>SB19</t>
  </si>
  <si>
    <t>SB20</t>
  </si>
  <si>
    <t>MB2</t>
  </si>
  <si>
    <t>MB3</t>
  </si>
  <si>
    <t>MB4</t>
  </si>
  <si>
    <t>MB5</t>
  </si>
  <si>
    <t>MB6</t>
  </si>
  <si>
    <t>MB7</t>
  </si>
  <si>
    <t>MB8</t>
  </si>
  <si>
    <t>MB9</t>
  </si>
  <si>
    <t>MB10</t>
  </si>
  <si>
    <t>MB11</t>
  </si>
  <si>
    <t>MB12</t>
  </si>
  <si>
    <t>MB13</t>
  </si>
  <si>
    <t>MB14</t>
  </si>
  <si>
    <t>MB15</t>
  </si>
  <si>
    <t>MB16</t>
  </si>
  <si>
    <t>MB17</t>
  </si>
  <si>
    <t>MB18</t>
  </si>
  <si>
    <t>MB19</t>
  </si>
  <si>
    <t>MB20</t>
  </si>
  <si>
    <t>1. SLAB INPUTS - ONE-WAY</t>
    <phoneticPr fontId="10" type="noConversion"/>
  </si>
  <si>
    <t>2. SECONDARY BEAM INPUTS</t>
    <phoneticPr fontId="10" type="noConversion"/>
  </si>
  <si>
    <t>|||||500|500|||0|20|40|250|150|4|8layers</t>
    <phoneticPr fontId="10" type="noConversion"/>
  </si>
  <si>
    <t>Each end SW (kN/m)</t>
    <phoneticPr fontId="10" type="noConversion"/>
  </si>
  <si>
    <t>Each end DL (kN/m)</t>
    <phoneticPr fontId="10" type="noConversion"/>
  </si>
  <si>
    <t>Each end SDL (kN/m)</t>
    <phoneticPr fontId="10" type="noConversion"/>
  </si>
  <si>
    <t>Each end LL (kN/m)</t>
    <phoneticPr fontId="10" type="noConversion"/>
  </si>
  <si>
    <t>Schematic beam/slab section. Dimensions govern. Reinforcement drawings and Auto Reinforcement remain in the Design sheets.</t>
    <phoneticPr fontId="10" type="noConversion"/>
  </si>
  <si>
    <t>BEAM / SLAB SECTION: BEAM LOADING; REINFORCEMENT: THIS DESIGN SHEET</t>
    <phoneticPr fontId="10" type="noConversion"/>
  </si>
  <si>
    <t>Concrete grade</t>
  </si>
  <si>
    <t>Enter beam dimensions and choose the left / right slab IDs. None = no slab. Grade and fire hours follow the top inputs. Main-beam connections are entered below the main table.</t>
  </si>
  <si>
    <t>Main ID</t>
    <phoneticPr fontId="10" type="noConversion"/>
  </si>
  <si>
    <t>Side</t>
    <phoneticPr fontId="10" type="noConversion"/>
  </si>
  <si>
    <t>Connection status</t>
    <phoneticPr fontId="10" type="noConversion"/>
  </si>
  <si>
    <t>SB end SW (kN)</t>
    <phoneticPr fontId="10" type="noConversion"/>
  </si>
  <si>
    <t>SB end DL (kN)</t>
    <phoneticPr fontId="10" type="noConversion"/>
  </si>
  <si>
    <t>SB end SDL (kN)</t>
    <phoneticPr fontId="10" type="noConversion"/>
  </si>
  <si>
    <t>SB end LL (kN)</t>
    <phoneticPr fontId="10" type="noConversion"/>
  </si>
  <si>
    <t>ULS reaction (kN)</t>
    <phoneticPr fontId="10" type="noConversion"/>
  </si>
  <si>
    <t>S1</t>
    <phoneticPr fontId="10" type="noConversion"/>
  </si>
  <si>
    <t>=</t>
  </si>
  <si>
    <t>Design V (auto), kN</t>
  </si>
  <si>
    <t>V is calculated automatically from the linked simply-supported one-way slab loads and span.</t>
    <phoneticPr fontId="10" type="noConversion"/>
  </si>
  <si>
    <t>Slab design</t>
  </si>
  <si>
    <t>Main beam design</t>
  </si>
  <si>
    <t>Secondary design</t>
  </si>
  <si>
    <t>Fire resistance (hr)</t>
  </si>
  <si>
    <t>3. MAIN BEAM INPUTS</t>
  </si>
  <si>
    <t>SECONDARY BEAM POSITIONS</t>
  </si>
  <si>
    <t>MAIN BEAM RESULTS</t>
  </si>
  <si>
    <t>Calculated from the secondary connections above plus main beam self-weight.</t>
  </si>
  <si>
    <t>Secondary ID</t>
    <phoneticPr fontId="10" type="noConversion"/>
  </si>
  <si>
    <t>x from A (m)</t>
    <phoneticPr fontId="10" type="noConversion"/>
  </si>
  <si>
    <t>FRAMING PLAN</t>
  </si>
  <si>
    <t>One X/Y scale. Beam widths to scale. Dashed lines = centres. Slab IDs are reusable types; check panel closure / overlap.</t>
  </si>
  <si>
    <t>mm²</t>
    <phoneticPr fontId="28" type="noConversion"/>
  </si>
  <si>
    <r>
      <t>f</t>
    </r>
    <r>
      <rPr>
        <vertAlign val="subscript"/>
        <sz val="10"/>
        <color rgb="FF000000"/>
        <rFont val="Arial"/>
        <family val="2"/>
      </rPr>
      <t>cu</t>
    </r>
    <phoneticPr fontId="28" type="noConversion"/>
  </si>
  <si>
    <r>
      <t>f</t>
    </r>
    <r>
      <rPr>
        <vertAlign val="subscript"/>
        <sz val="10"/>
        <color rgb="FF000000"/>
        <rFont val="Arial"/>
        <family val="2"/>
      </rPr>
      <t>y</t>
    </r>
    <phoneticPr fontId="28" type="noConversion"/>
  </si>
  <si>
    <r>
      <t>f</t>
    </r>
    <r>
      <rPr>
        <vertAlign val="subscript"/>
        <sz val="10"/>
        <color rgb="FF000000"/>
        <rFont val="Arial"/>
        <family val="2"/>
      </rPr>
      <t>yv</t>
    </r>
    <phoneticPr fontId="28" type="noConversion"/>
  </si>
  <si>
    <r>
      <t>M / bd²f</t>
    </r>
    <r>
      <rPr>
        <vertAlign val="subscript"/>
        <sz val="10"/>
        <color rgb="FF000000"/>
        <rFont val="Arial"/>
        <family val="2"/>
      </rPr>
      <t>cu</t>
    </r>
    <phoneticPr fontId="28" type="noConversion"/>
  </si>
  <si>
    <r>
      <rPr>
        <sz val="10"/>
        <color rgb="FF000000"/>
        <rFont val="新細明體"/>
        <family val="1"/>
        <charset val="136"/>
      </rPr>
      <t>∴</t>
    </r>
    <phoneticPr fontId="28" type="noConversion"/>
  </si>
  <si>
    <r>
      <t>A</t>
    </r>
    <r>
      <rPr>
        <vertAlign val="subscript"/>
        <sz val="10"/>
        <color rgb="FF000000"/>
        <rFont val="Arial"/>
        <family val="2"/>
      </rPr>
      <t>s</t>
    </r>
    <r>
      <rPr>
        <sz val="10"/>
        <color rgb="FF000000"/>
        <rFont val="Arial"/>
        <family val="2"/>
      </rPr>
      <t>'</t>
    </r>
    <phoneticPr fontId="28" type="noConversion"/>
  </si>
  <si>
    <r>
      <t>(K-K')f</t>
    </r>
    <r>
      <rPr>
        <vertAlign val="subscript"/>
        <sz val="10"/>
        <color rgb="FF000000"/>
        <rFont val="Arial"/>
        <family val="2"/>
      </rPr>
      <t>cu</t>
    </r>
    <r>
      <rPr>
        <sz val="10"/>
        <color rgb="FF000000"/>
        <rFont val="Arial"/>
        <family val="2"/>
      </rPr>
      <t xml:space="preserve"> b d²</t>
    </r>
    <phoneticPr fontId="28" type="noConversion"/>
  </si>
  <si>
    <r>
      <t>0.87 f</t>
    </r>
    <r>
      <rPr>
        <vertAlign val="subscript"/>
        <sz val="10"/>
        <color rgb="FF000000"/>
        <rFont val="Arial"/>
        <family val="2"/>
      </rPr>
      <t>y</t>
    </r>
    <r>
      <rPr>
        <sz val="10"/>
        <color rgb="FF000000"/>
        <rFont val="Arial"/>
        <family val="2"/>
      </rPr>
      <t xml:space="preserve"> (d-d')</t>
    </r>
    <phoneticPr fontId="28" type="noConversion"/>
  </si>
  <si>
    <r>
      <t>0.87 f</t>
    </r>
    <r>
      <rPr>
        <vertAlign val="subscript"/>
        <sz val="10"/>
        <color rgb="FF000000"/>
        <rFont val="Arial"/>
        <family val="2"/>
      </rPr>
      <t>y</t>
    </r>
    <r>
      <rPr>
        <sz val="10"/>
        <color rgb="FF000000"/>
        <rFont val="Arial"/>
        <family val="2"/>
      </rPr>
      <t xml:space="preserve"> z</t>
    </r>
    <phoneticPr fontId="28" type="noConversion"/>
  </si>
  <si>
    <r>
      <t>(A</t>
    </r>
    <r>
      <rPr>
        <vertAlign val="subscript"/>
        <sz val="10"/>
        <color rgb="FF000000"/>
        <rFont val="Arial"/>
        <family val="2"/>
      </rPr>
      <t>s</t>
    </r>
    <r>
      <rPr>
        <sz val="10"/>
        <color rgb="FF000000"/>
        <rFont val="Arial"/>
        <family val="2"/>
      </rPr>
      <t>'</t>
    </r>
    <phoneticPr fontId="28" type="noConversion"/>
  </si>
  <si>
    <r>
      <t>(A</t>
    </r>
    <r>
      <rPr>
        <vertAlign val="subscript"/>
        <sz val="10"/>
        <color rgb="FF000000"/>
        <rFont val="Arial"/>
        <family val="2"/>
      </rPr>
      <t>s</t>
    </r>
    <phoneticPr fontId="28" type="noConversion"/>
  </si>
  <si>
    <r>
      <t>0.8   f</t>
    </r>
    <r>
      <rPr>
        <vertAlign val="subscript"/>
        <sz val="10"/>
        <color rgb="FF000000"/>
        <rFont val="Arial"/>
        <family val="2"/>
      </rPr>
      <t>cu</t>
    </r>
    <phoneticPr fontId="28" type="noConversion"/>
  </si>
  <si>
    <r>
      <t>v</t>
    </r>
    <r>
      <rPr>
        <vertAlign val="subscript"/>
        <sz val="10"/>
        <color rgb="FF000000"/>
        <rFont val="Arial"/>
        <family val="2"/>
      </rPr>
      <t>c</t>
    </r>
    <phoneticPr fontId="28" type="noConversion"/>
  </si>
  <si>
    <r>
      <t>v</t>
    </r>
    <r>
      <rPr>
        <vertAlign val="subscript"/>
        <sz val="10"/>
        <color rgb="FF000000"/>
        <rFont val="Arial"/>
        <family val="2"/>
      </rPr>
      <t>r</t>
    </r>
    <phoneticPr fontId="28" type="noConversion"/>
  </si>
  <si>
    <r>
      <rPr>
        <sz val="10"/>
        <color rgb="FF000000"/>
        <rFont val="細明體"/>
        <family val="3"/>
        <charset val="136"/>
      </rPr>
      <t>∴</t>
    </r>
  </si>
  <si>
    <r>
      <t>A</t>
    </r>
    <r>
      <rPr>
        <vertAlign val="subscript"/>
        <sz val="10"/>
        <color rgb="FF000000"/>
        <rFont val="Arial"/>
        <family val="2"/>
      </rPr>
      <t>sv</t>
    </r>
    <phoneticPr fontId="28" type="noConversion"/>
  </si>
  <si>
    <r>
      <t>s</t>
    </r>
    <r>
      <rPr>
        <vertAlign val="subscript"/>
        <sz val="10"/>
        <color rgb="FF000000"/>
        <rFont val="Arial"/>
        <family val="2"/>
      </rPr>
      <t>v</t>
    </r>
    <phoneticPr fontId="28" type="noConversion"/>
  </si>
  <si>
    <r>
      <t>0.87 f</t>
    </r>
    <r>
      <rPr>
        <vertAlign val="subscript"/>
        <sz val="10"/>
        <color rgb="FF000000"/>
        <rFont val="Arial"/>
        <family val="2"/>
      </rPr>
      <t>yv</t>
    </r>
    <phoneticPr fontId="28" type="noConversion"/>
  </si>
  <si>
    <r>
      <t>v</t>
    </r>
    <r>
      <rPr>
        <vertAlign val="subscript"/>
        <sz val="10"/>
        <color rgb="FF000000"/>
        <rFont val="Arial"/>
        <family val="2"/>
      </rPr>
      <t>t</t>
    </r>
    <phoneticPr fontId="28" type="noConversion"/>
  </si>
  <si>
    <r>
      <t>h²</t>
    </r>
    <r>
      <rPr>
        <vertAlign val="subscript"/>
        <sz val="10"/>
        <color rgb="FF000000"/>
        <rFont val="Arial"/>
        <family val="2"/>
      </rPr>
      <t>min</t>
    </r>
    <r>
      <rPr>
        <sz val="10"/>
        <color rgb="FF000000"/>
        <rFont val="Arial"/>
        <family val="2"/>
      </rPr>
      <t xml:space="preserve"> ( h</t>
    </r>
    <r>
      <rPr>
        <vertAlign val="subscript"/>
        <sz val="10"/>
        <color rgb="FF000000"/>
        <rFont val="Arial"/>
        <family val="2"/>
      </rPr>
      <t>max</t>
    </r>
    <r>
      <rPr>
        <sz val="10"/>
        <color rgb="FF000000"/>
        <rFont val="Arial"/>
        <family val="2"/>
      </rPr>
      <t xml:space="preserve"> - h</t>
    </r>
    <r>
      <rPr>
        <vertAlign val="subscript"/>
        <sz val="10"/>
        <color rgb="FF000000"/>
        <rFont val="Arial"/>
        <family val="2"/>
      </rPr>
      <t>min</t>
    </r>
    <r>
      <rPr>
        <sz val="10"/>
        <color rgb="FF000000"/>
        <rFont val="Arial"/>
        <family val="2"/>
      </rPr>
      <t>/3)</t>
    </r>
    <phoneticPr fontId="28" type="noConversion"/>
  </si>
  <si>
    <r>
      <t>v</t>
    </r>
    <r>
      <rPr>
        <vertAlign val="subscript"/>
        <sz val="10"/>
        <color rgb="FF000000"/>
        <rFont val="Arial"/>
        <family val="2"/>
      </rPr>
      <t>t min</t>
    </r>
    <phoneticPr fontId="28" type="noConversion"/>
  </si>
  <si>
    <r>
      <t>v</t>
    </r>
    <r>
      <rPr>
        <vertAlign val="subscript"/>
        <sz val="10"/>
        <color rgb="FF000000"/>
        <rFont val="Arial"/>
        <family val="2"/>
      </rPr>
      <t>tu</t>
    </r>
    <phoneticPr fontId="28" type="noConversion"/>
  </si>
  <si>
    <r>
      <t>x</t>
    </r>
    <r>
      <rPr>
        <vertAlign val="subscript"/>
        <sz val="10"/>
        <color rgb="FF000000"/>
        <rFont val="Arial"/>
        <family val="2"/>
      </rPr>
      <t>1</t>
    </r>
    <phoneticPr fontId="28" type="noConversion"/>
  </si>
  <si>
    <r>
      <t>y</t>
    </r>
    <r>
      <rPr>
        <vertAlign val="subscript"/>
        <sz val="10"/>
        <color rgb="FF000000"/>
        <rFont val="Arial"/>
        <family val="2"/>
      </rPr>
      <t>1</t>
    </r>
    <phoneticPr fontId="28" type="noConversion"/>
  </si>
  <si>
    <r>
      <t>(v + v</t>
    </r>
    <r>
      <rPr>
        <vertAlign val="subscript"/>
        <sz val="10"/>
        <color rgb="FF000000"/>
        <rFont val="Arial"/>
        <family val="2"/>
      </rPr>
      <t>t</t>
    </r>
    <r>
      <rPr>
        <sz val="10"/>
        <color rgb="FF000000"/>
        <rFont val="Arial"/>
        <family val="2"/>
      </rPr>
      <t>)</t>
    </r>
    <phoneticPr fontId="28" type="noConversion"/>
  </si>
  <si>
    <r>
      <t>v</t>
    </r>
    <r>
      <rPr>
        <vertAlign val="subscript"/>
        <sz val="10"/>
        <color rgb="FF000000"/>
        <rFont val="Arial"/>
        <family val="2"/>
      </rPr>
      <t>c</t>
    </r>
    <r>
      <rPr>
        <sz val="10"/>
        <color rgb="FF000000"/>
        <rFont val="Arial"/>
        <family val="2"/>
      </rPr>
      <t>+v</t>
    </r>
    <r>
      <rPr>
        <vertAlign val="subscript"/>
        <sz val="10"/>
        <color rgb="FF000000"/>
        <rFont val="Arial"/>
        <family val="2"/>
      </rPr>
      <t>r</t>
    </r>
    <phoneticPr fontId="28" type="noConversion"/>
  </si>
  <si>
    <r>
      <t>0.8x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(0.87f</t>
    </r>
    <r>
      <rPr>
        <vertAlign val="subscript"/>
        <sz val="10"/>
        <color rgb="FF000000"/>
        <rFont val="Arial"/>
        <family val="2"/>
      </rPr>
      <t>yv</t>
    </r>
    <r>
      <rPr>
        <sz val="10"/>
        <color rgb="FF000000"/>
        <rFont val="Arial"/>
        <family val="2"/>
      </rPr>
      <t>)</t>
    </r>
    <phoneticPr fontId="28" type="noConversion"/>
  </si>
  <si>
    <r>
      <t>A</t>
    </r>
    <r>
      <rPr>
        <vertAlign val="subscript"/>
        <sz val="10"/>
        <color rgb="FF000000"/>
        <rFont val="Arial"/>
        <family val="2"/>
      </rPr>
      <t>sv</t>
    </r>
    <r>
      <rPr>
        <sz val="10"/>
        <color rgb="FF000000"/>
        <rFont val="Arial"/>
        <family val="2"/>
      </rPr>
      <t xml:space="preserve"> f</t>
    </r>
    <r>
      <rPr>
        <vertAlign val="subscript"/>
        <sz val="10"/>
        <color rgb="FF000000"/>
        <rFont val="Arial"/>
        <family val="2"/>
      </rPr>
      <t>yv</t>
    </r>
    <r>
      <rPr>
        <sz val="10"/>
        <color rgb="FF000000"/>
        <rFont val="Arial"/>
        <family val="2"/>
      </rPr>
      <t xml:space="preserve"> (x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t>
    </r>
    <phoneticPr fontId="28" type="noConversion"/>
  </si>
  <si>
    <r>
      <t>s</t>
    </r>
    <r>
      <rPr>
        <vertAlign val="subscript"/>
        <sz val="10"/>
        <color rgb="FF000000"/>
        <rFont val="Arial"/>
        <family val="2"/>
      </rPr>
      <t>v</t>
    </r>
    <r>
      <rPr>
        <sz val="10"/>
        <color rgb="FF000000"/>
        <rFont val="Arial"/>
        <family val="2"/>
      </rPr>
      <t xml:space="preserve"> f</t>
    </r>
    <r>
      <rPr>
        <vertAlign val="subscript"/>
        <sz val="10"/>
        <color rgb="FF000000"/>
        <rFont val="Arial"/>
        <family val="2"/>
      </rPr>
      <t>y</t>
    </r>
    <phoneticPr fontId="28" type="noConversion"/>
  </si>
  <si>
    <r>
      <t>A</t>
    </r>
    <r>
      <rPr>
        <vertAlign val="subscript"/>
        <sz val="10"/>
        <color rgb="FF000000"/>
        <rFont val="Arial"/>
        <family val="2"/>
      </rPr>
      <t>s</t>
    </r>
    <r>
      <rPr>
        <sz val="10"/>
        <color rgb="FF000000"/>
        <rFont val="Arial"/>
        <family val="2"/>
      </rPr>
      <t xml:space="preserve"> + A</t>
    </r>
    <r>
      <rPr>
        <vertAlign val="subscript"/>
        <sz val="10"/>
        <color rgb="FF000000"/>
        <rFont val="Arial"/>
        <family val="2"/>
      </rPr>
      <t>s</t>
    </r>
    <r>
      <rPr>
        <sz val="10"/>
        <color rgb="FF000000"/>
        <rFont val="Arial"/>
        <family val="2"/>
      </rPr>
      <t>'</t>
    </r>
    <phoneticPr fontId="28" type="noConversion"/>
  </si>
  <si>
    <r>
      <t>f</t>
    </r>
    <r>
      <rPr>
        <vertAlign val="subscript"/>
        <sz val="10"/>
        <color rgb="FF000000"/>
        <rFont val="Arial"/>
        <family val="2"/>
      </rPr>
      <t>s</t>
    </r>
    <phoneticPr fontId="28" type="noConversion"/>
  </si>
  <si>
    <t>Design data</t>
    <phoneticPr fontId="28" type="noConversion"/>
  </si>
  <si>
    <t>Design actions</t>
    <phoneticPr fontId="28" type="noConversion"/>
  </si>
  <si>
    <t>Bending resistance</t>
    <phoneticPr fontId="28" type="noConversion"/>
  </si>
  <si>
    <t>Shear resistance</t>
    <phoneticPr fontId="28" type="noConversion"/>
  </si>
  <si>
    <t>Torsion resistance</t>
    <phoneticPr fontId="28" type="noConversion"/>
  </si>
  <si>
    <t>Deflection check</t>
    <phoneticPr fontId="28" type="noConversion"/>
  </si>
  <si>
    <t>Main steel yield strength</t>
    <phoneticPr fontId="28" type="noConversion"/>
  </si>
  <si>
    <t>Link steel yield strength</t>
    <phoneticPr fontId="28" type="noConversion"/>
  </si>
  <si>
    <t>Lever arm</t>
    <phoneticPr fontId="28" type="noConversion"/>
  </si>
  <si>
    <t>BEAM SECTION AND REINFORCEMENT</t>
  </si>
  <si>
    <t>Cross-section</t>
  </si>
  <si>
    <t>Reinforcement layout</t>
  </si>
  <si>
    <t>PENDING</t>
    <phoneticPr fontId="10" type="noConversion"/>
  </si>
  <si>
    <t>Design settings</t>
  </si>
  <si>
    <t>Max bar</t>
  </si>
  <si>
    <t>Max link spacing</t>
  </si>
  <si>
    <t>Side bar spacing</t>
  </si>
  <si>
    <t>Max steel %</t>
  </si>
  <si>
    <t>Top steel</t>
  </si>
  <si>
    <t>Bottom / slab main steel</t>
  </si>
  <si>
    <t>Detail</t>
  </si>
  <si>
    <t>Checked at</t>
  </si>
  <si>
    <t>MB1</t>
    <phoneticPr fontId="10" type="noConversion"/>
  </si>
  <si>
    <t>SB1</t>
    <phoneticPr fontId="10" type="noConversion"/>
  </si>
  <si>
    <t>Auto slab status</t>
  </si>
  <si>
    <t>Auto slab detail</t>
  </si>
  <si>
    <t>Enter main beam dimensions. Reactions and self-weight are automatic.</t>
  </si>
  <si>
    <t>One physical SB per row; types may repeat. x = C/L distance from main A. Same main/side/x is a duplicate.</t>
  </si>
  <si>
    <t>Summary size (mm)</t>
  </si>
  <si>
    <t>SECTION B | TRANSFER BEAM</t>
    <phoneticPr fontId="10" type="noConversion"/>
  </si>
  <si>
    <t>SECTION B | MAIN BEAM</t>
    <phoneticPr fontId="10" type="noConversion"/>
  </si>
  <si>
    <t>SECTION B | SECONDARY BEAM</t>
    <phoneticPr fontId="10" type="noConversion"/>
  </si>
  <si>
    <t>Slab steel mode</t>
  </si>
  <si>
    <r>
      <t>f</t>
    </r>
    <r>
      <rPr>
        <vertAlign val="subscript"/>
        <sz val="10"/>
        <color rgb="FF000000"/>
        <rFont val="Arial"/>
        <family val="2"/>
      </rPr>
      <t xml:space="preserve">cu </t>
    </r>
    <r>
      <rPr>
        <sz val="10"/>
        <color rgb="FF000000"/>
        <rFont val="Arial"/>
        <family val="2"/>
      </rPr>
      <t>x</t>
    </r>
    <r>
      <rPr>
        <vertAlign val="subscript"/>
        <sz val="10"/>
        <color rgb="FF000000"/>
        <rFont val="Arial"/>
        <family val="2"/>
      </rPr>
      <t xml:space="preserve"> </t>
    </r>
    <r>
      <rPr>
        <sz val="10"/>
        <color rgb="FF000000"/>
        <rFont val="Arial"/>
        <family val="2"/>
      </rPr>
      <t>b x d</t>
    </r>
    <r>
      <rPr>
        <vertAlign val="superscript"/>
        <sz val="10"/>
        <color rgb="FF000000"/>
        <rFont val="Arial"/>
        <family val="2"/>
      </rPr>
      <t>2</t>
    </r>
    <phoneticPr fontId="48" type="noConversion"/>
  </si>
  <si>
    <r>
      <t>((0.5+(0.25-k/0.9)</t>
    </r>
    <r>
      <rPr>
        <vertAlign val="superscript"/>
        <sz val="10"/>
        <color rgb="FF000000"/>
        <rFont val="Arial"/>
        <family val="2"/>
      </rPr>
      <t>0.5</t>
    </r>
    <r>
      <rPr>
        <sz val="10"/>
        <color rgb="FF000000"/>
        <rFont val="Arial"/>
        <family val="2"/>
      </rPr>
      <t>)d =</t>
    </r>
    <phoneticPr fontId="48" type="noConversion"/>
  </si>
  <si>
    <r>
      <t>A</t>
    </r>
    <r>
      <rPr>
        <vertAlign val="subscript"/>
        <sz val="10"/>
        <color rgb="FF000000"/>
        <rFont val="Arial"/>
        <family val="2"/>
      </rPr>
      <t>st</t>
    </r>
    <phoneticPr fontId="48" type="noConversion"/>
  </si>
  <si>
    <r>
      <t>mm</t>
    </r>
    <r>
      <rPr>
        <vertAlign val="superscript"/>
        <sz val="10"/>
        <color rgb="FF000000"/>
        <rFont val="Arial"/>
        <family val="2"/>
      </rPr>
      <t>2</t>
    </r>
    <r>
      <rPr>
        <sz val="10"/>
        <color rgb="FF000000"/>
        <rFont val="Arial"/>
        <family val="2"/>
      </rPr>
      <t>/m</t>
    </r>
    <phoneticPr fontId="48" type="noConversion"/>
  </si>
  <si>
    <r>
      <t>0.87 x f</t>
    </r>
    <r>
      <rPr>
        <vertAlign val="subscript"/>
        <sz val="10"/>
        <color rgb="FF000000"/>
        <rFont val="Arial"/>
        <family val="2"/>
      </rPr>
      <t>y</t>
    </r>
    <r>
      <rPr>
        <sz val="10"/>
        <color rgb="FF000000"/>
        <rFont val="Arial"/>
        <family val="2"/>
      </rPr>
      <t xml:space="preserve"> x z</t>
    </r>
    <phoneticPr fontId="48" type="noConversion"/>
  </si>
  <si>
    <r>
      <t>b x d</t>
    </r>
    <r>
      <rPr>
        <vertAlign val="superscript"/>
        <sz val="10"/>
        <color rgb="FF000000"/>
        <rFont val="Arial"/>
        <family val="2"/>
      </rPr>
      <t>2</t>
    </r>
    <phoneticPr fontId="48" type="noConversion"/>
  </si>
  <si>
    <r>
      <t>f</t>
    </r>
    <r>
      <rPr>
        <vertAlign val="subscript"/>
        <sz val="10"/>
        <color rgb="FF000000"/>
        <rFont val="Arial"/>
        <family val="2"/>
      </rPr>
      <t>s</t>
    </r>
    <phoneticPr fontId="48" type="noConversion"/>
  </si>
  <si>
    <r>
      <t>2f</t>
    </r>
    <r>
      <rPr>
        <vertAlign val="subscript"/>
        <sz val="10"/>
        <color rgb="FF000000"/>
        <rFont val="Arial"/>
        <family val="2"/>
      </rPr>
      <t>y</t>
    </r>
    <r>
      <rPr>
        <sz val="10"/>
        <color rgb="FF000000"/>
        <rFont val="Arial"/>
        <family val="2"/>
      </rPr>
      <t>A</t>
    </r>
    <r>
      <rPr>
        <vertAlign val="subscript"/>
        <sz val="10"/>
        <color rgb="FF000000"/>
        <rFont val="Arial"/>
        <family val="2"/>
      </rPr>
      <t>st,req</t>
    </r>
    <phoneticPr fontId="48" type="noConversion"/>
  </si>
  <si>
    <r>
      <t>3A</t>
    </r>
    <r>
      <rPr>
        <vertAlign val="subscript"/>
        <sz val="10"/>
        <color rgb="FF000000"/>
        <rFont val="Arial"/>
        <family val="2"/>
      </rPr>
      <t>st,prov</t>
    </r>
    <phoneticPr fontId="48" type="noConversion"/>
  </si>
  <si>
    <t>Yield stress of steel</t>
    <phoneticPr fontId="48" type="noConversion"/>
  </si>
  <si>
    <t>SECTION B | SLAB DESIGN</t>
  </si>
  <si>
    <t>Choose the slab ID on Inputs. Shared dimensions, grade and fire hours are linked.</t>
  </si>
  <si>
    <t>Manual steel edits are kept for this slab. UPDATE refreshes checks; Restore Auto reselects main and transverse bars.</t>
  </si>
  <si>
    <t>BEAM SECTION AND REINFORCEMENT</t>
    <phoneticPr fontId="10" type="noConversion"/>
  </si>
  <si>
    <t>Cross-section</t>
    <phoneticPr fontId="10" type="noConversion"/>
  </si>
  <si>
    <t>Reinforcement layout</t>
    <phoneticPr fontId="10" type="noConversion"/>
  </si>
  <si>
    <t>Design settings</t>
    <phoneticPr fontId="10" type="noConversion"/>
  </si>
  <si>
    <t>Max bar</t>
    <phoneticPr fontId="10" type="noConversion"/>
  </si>
  <si>
    <t>Max link spacing</t>
    <phoneticPr fontId="10" type="noConversion"/>
  </si>
  <si>
    <t>Side bar spacing</t>
    <phoneticPr fontId="10" type="noConversion"/>
  </si>
  <si>
    <t>Max steel %</t>
    <phoneticPr fontId="10" type="noConversion"/>
  </si>
  <si>
    <t>As,min</t>
  </si>
  <si>
    <t>Minimum steel and crack spacing: HK CoP 9.3.1.1 and 9.2.1.4. Auto supports fy = 500, one layer, simply supported span.</t>
    <phoneticPr fontId="10" type="noConversion"/>
  </si>
  <si>
    <t>OK means all implemented calculation checks pass. Review anchorage, actual layer spacing and full detailing before use.</t>
  </si>
  <si>
    <t>|||||||||||||0|1|End span||23|||60||||||cover|2|50|40</t>
    <phoneticPr fontId="10" type="noConversion"/>
  </si>
  <si>
    <t>--</t>
  </si>
  <si>
    <t>INPUT REQUIRED
INPUT REQUIRED - INPUT REQUIRED</t>
    <phoneticPr fontId="10" type="noConversion"/>
  </si>
  <si>
    <t>Manual edits lock this member. Restore Auto resets layers and links. One diameter per face; Bottom maximum two sizes above Top (T16 -&gt; T25). Effective depth uses the steel-area-weighted centroid; check anchorage and detailing.</t>
    <phoneticPr fontId="10" type="noConversion"/>
  </si>
  <si>
    <t>Complete source inputs: INPUT REQUIRED</t>
    <phoneticPr fontId="10" type="noConversion"/>
  </si>
  <si>
    <t>INPUT REQUIRED - INPUT REQUIRED</t>
    <phoneticPr fontId="10" type="noConversion"/>
  </si>
  <si>
    <t>Yellow steel cells may be overridden; UPDATE preserves manual choices.</t>
    <phoneticPr fontId="10" type="noConversion"/>
  </si>
  <si>
    <t>&amp;"|RULE86"</t>
  </si>
  <si>
    <t>|||||500|500|||0|20|40|250|150|4|8layers|RULE86</t>
    <phoneticPr fontId="10" type="noConversion"/>
  </si>
  <si>
    <t>|1000||40|60|500|500|||0||40|250|150|4|8layers|RULE86</t>
    <phoneticPr fontId="10" type="noConversion"/>
  </si>
  <si>
    <t>AUTO reinforcement - UPDATE reselects when required.</t>
    <phoneticPr fontId="10" type="noConversion"/>
  </si>
  <si>
    <t>AUTO: saved selection loaded; UPDATE reselects when inputs change.</t>
    <phoneticPr fontId="10" type="noConversion"/>
  </si>
  <si>
    <t>Depth (mm)</t>
    <phoneticPr fontId="10" type="noConversion"/>
  </si>
  <si>
    <t>SECTION B | COLUMN AXIAL CHECK (PHOTO SCOPE)</t>
    <phoneticPr fontId="10" type="noConversion"/>
  </si>
  <si>
    <t>Photo axial check</t>
    <phoneticPr fontId="10" type="noConversion"/>
  </si>
  <si>
    <t>Checked: load totals, short-column classification, axial capacity, main steel area and ratio.</t>
    <phoneticPr fontId="10" type="noConversion"/>
  </si>
  <si>
    <t>Photo formula: N = 0.35 fcu Ac + 0.67 fy As. HK CoP 2013 (2020), 6.2.1.4(c), eq. 6.56.</t>
    <phoneticPr fontId="10" type="noConversion"/>
  </si>
  <si>
    <t>Auto total. Type a whole bar count here to override. Restore Auto resets the count and diameter.</t>
    <phoneticPr fontId="10" type="noConversion"/>
  </si>
  <si>
    <t>Axial resistance using provided main steel. Photo scope only.</t>
    <phoneticPr fontId="10" type="noConversion"/>
  </si>
  <si>
    <t>OK</t>
  </si>
  <si>
    <t>28T32 (total)</t>
  </si>
  <si>
    <t>900 x 900</t>
  </si>
  <si>
    <t>Column (for C1)</t>
  </si>
  <si>
    <t>Column height = 8,000 mm</t>
  </si>
  <si>
    <t>Size = 900 x 900 mm</t>
  </si>
  <si>
    <t>Concrete C60; fy = 500 N/mm²</t>
  </si>
  <si>
    <t>Braced; effective length factor = 1; lex = ley = 8,000 mm</t>
  </si>
  <si>
    <t>Loading</t>
  </si>
  <si>
    <t>N,ULS = (1.4 x 10,000 + 1.6 x 2,000) x 1.25 = 21,500 kN</t>
  </si>
  <si>
    <t>Check compression</t>
  </si>
  <si>
    <t>lex/h = 8,000 / 900 = 8.89; ley/b = 8.89</t>
  </si>
  <si>
    <t>Short-column limit = 15; SHORT / BRACED</t>
  </si>
  <si>
    <t>N,prov = [0.35 fcu (Ag - As,prov) + 0.67 fy As,prov] / 1000</t>
  </si>
  <si>
    <t>= [0.35 x 60 x (810,000 - 22,519) + 0.67 x 500 x 22,519] / 1000</t>
  </si>
  <si>
    <t>Provide 28T32; As,prov = 22,519 mm² (2.78%)</t>
  </si>
  <si>
    <t>Method applicability and detailing are outside this axial / main steel calculation.</t>
    <phoneticPr fontId="10" type="noConversion"/>
  </si>
  <si>
    <t>SECTION B - DESIGN CALCULATION</t>
  </si>
  <si>
    <t>II. Design Codes</t>
  </si>
  <si>
    <t>Code of Practice - a) Wind Effects in Hong Kong 2019.</t>
  </si>
  <si>
    <t>Code of Practice - b) Foundations 2017 (2024 Edition).</t>
  </si>
  <si>
    <t>Code of Practice - c) Structural Use of Concrete 2013 (2020 Edition).</t>
  </si>
  <si>
    <t>Code of Practice - d) Dead and Imposed Loads 2011 (2021 Edition).</t>
  </si>
  <si>
    <t>Code of Practice - e) Fire Safety in Buildings 2011.</t>
  </si>
  <si>
    <t>Code of Practice - f) Structural Use of Steel 2011 (2023 Edition).</t>
  </si>
  <si>
    <t>III. Design Data</t>
  </si>
  <si>
    <t>a) Concrete</t>
  </si>
  <si>
    <t>Concrete density = 24.5 kN/m3.</t>
  </si>
  <si>
    <t>b) Steel reinforcement</t>
  </si>
  <si>
    <t>Slab / beam fy = 500 N/mm²; column fy = 500 N/mm².</t>
  </si>
  <si>
    <t>Assume 2.5% reinforcement.</t>
  </si>
  <si>
    <r>
      <t xml:space="preserve">= 24,080.95 kN </t>
    </r>
    <r>
      <rPr>
        <sz val="11"/>
        <color rgb="FF205E73"/>
        <rFont val="Carlito"/>
      </rPr>
      <t>≥</t>
    </r>
    <r>
      <rPr>
        <sz val="11"/>
        <color rgb="FF205E73"/>
        <rFont val="Arial"/>
        <family val="2"/>
      </rPr>
      <t xml:space="preserve"> N,ULS = 21,500 kN; </t>
    </r>
    <r>
      <rPr>
        <sz val="11"/>
        <color rgb="FF205E73"/>
        <rFont val="Carlito"/>
      </rPr>
      <t>∴</t>
    </r>
    <r>
      <rPr>
        <sz val="11"/>
        <color rgb="FF205E73"/>
        <rFont val="Arial"/>
        <family val="2"/>
      </rPr>
      <t xml:space="preserve"> OKAY (AXIAL ONLY)</t>
    </r>
  </si>
  <si>
    <t>As,req = 20,250 mm²</t>
  </si>
  <si>
    <t>Update Copy refreshes the report from saved design results.</t>
  </si>
  <si>
    <t>This section is mainly for quantity take-off.</t>
  </si>
  <si>
    <t>I. Assumptions</t>
  </si>
  <si>
    <t>Assume critical load combination: 1.4DL + 1.6LL.</t>
  </si>
  <si>
    <t>Assume a factor of 1.25 for wind effect.</t>
  </si>
  <si>
    <t>Member</t>
    <phoneticPr fontId="10" type="noConversion"/>
  </si>
  <si>
    <t>fcu</t>
    <phoneticPr fontId="10" type="noConversion"/>
  </si>
  <si>
    <t>N/mm²</t>
    <phoneticPr fontId="10" type="noConversion"/>
  </si>
  <si>
    <t>Slab / beams</t>
    <phoneticPr fontId="10" type="noConversion"/>
  </si>
  <si>
    <t>Column</t>
    <phoneticPr fontId="10" type="noConversion"/>
  </si>
  <si>
    <t>Transfer beam</t>
    <phoneticPr fontId="10" type="noConversion"/>
  </si>
  <si>
    <t>Floor</t>
    <phoneticPr fontId="10" type="noConversion"/>
  </si>
  <si>
    <t>DL + SDL
(kPa)</t>
    <phoneticPr fontId="10" type="noConversion"/>
  </si>
  <si>
    <t>LL
(kPa)</t>
    <phoneticPr fontId="10" type="noConversion"/>
  </si>
  <si>
    <t>No. of
Storeys</t>
    <phoneticPr fontId="10" type="noConversion"/>
  </si>
  <si>
    <t>Load Area
(m²)</t>
    <phoneticPr fontId="10" type="noConversion"/>
  </si>
  <si>
    <t>ΣDL
(kN)</t>
    <phoneticPr fontId="10" type="noConversion"/>
  </si>
  <si>
    <t>ΣLL
(kN)</t>
    <phoneticPr fontId="10" type="noConversion"/>
  </si>
  <si>
    <t>R/F</t>
    <phoneticPr fontId="10" type="noConversion"/>
  </si>
  <si>
    <t>Total</t>
    <phoneticPr fontId="10" type="noConversion"/>
  </si>
  <si>
    <t>Generated 2026-09-12 12:06</t>
  </si>
  <si>
    <t>Manual members outside Shared Inputs</t>
  </si>
  <si>
    <t>Manual type</t>
  </si>
  <si>
    <t>Depth (mm)</t>
  </si>
  <si>
    <t>Shared ID count</t>
  </si>
  <si>
    <t>Shared source row</t>
  </si>
  <si>
    <t>Member IDs</t>
  </si>
  <si>
    <t>Use separate rows for different floors of the same TC. DL/SDL/LL: kPa; B/D: m; Area: m2; Load: kN. Load = B x D x Floors x [1.4 x (DL + SDL) + 1.6 x LL], without 1.25. Enter SDL = 0 if absent; confirm LL for special uses. S is an optional factored-total override; clear S to restore the sum. Yellow = manual; blue = default; no fill = automatic/reference.</t>
    <phoneticPr fontId="10" type="noConversion"/>
  </si>
  <si>
    <t>Enter span/width/point positions in m and overall depth in mm. Concrete grade is in Z (e.g. 60 = C60). Support U sets S/D limits: Cantilever 7, Simply-supported 20, Continuous 26, End span 23. Reactions, shear and diagrams retain a simply-supported model; other support systems need separate analysis. Yellow = manual; blue = editable default; no fill = automatic/reference.</t>
    <phoneticPr fontId="10" type="noConversion"/>
  </si>
  <si>
    <t>Blue = editable defaults: fire resistance (1, 2 or 4 hours) and cover schedule in mm. No fill = automatic/reference. SS = simply supported; CON = continuous.</t>
    <phoneticPr fontId="10" type="noConversion"/>
  </si>
  <si>
    <t>Yellow = manual. Blue = editable defaults / steel. No fill = automatic / reference.</t>
    <phoneticPr fontId="10" type="noConversion"/>
  </si>
  <si>
    <t>Layers 1-4 remain above. Blue cells accept reinforcement overrides. Restore Auto reselects steel. Automatic selection: maximum 8 layers per face and 4%.</t>
    <phoneticPr fontId="10" type="noConversion"/>
  </si>
  <si>
    <t>UPDATE refreshes the selected beam. Blue steel fields accept manual overrides; Restore Auto reselects steel.</t>
    <phoneticPr fontId="10" type="noConversion"/>
  </si>
  <si>
    <t>A:H is automatic. Shared members follow Input; additional members follow M:Q once span or depth is entered. Yellow = manual; blue = editable default; no fill = automatic/reference.</t>
    <phoneticPr fontId="10" type="noConversion"/>
  </si>
  <si>
    <t>Support controls the basic span/depth limit: Cantilever 7, Simply-supported 20, Continuous 26, End span 23. All used members are included by Section A check.</t>
    <phoneticPr fontId="10" type="noConversion"/>
  </si>
  <si>
    <t>=IF('Section B Concrete Cover'!E18="","",'Section B Concrete Cover'!E18)</t>
  </si>
  <si>
    <t>=IF(COUNTIF('Input'!$A$61:$A$80,C9)&lt;&gt;1,"",IF(ISNUMBER(INDEX('Input'!$K$91:$K$110,MATCH(C9,'Input'!$A$61:$A$80,0))),INDEX('Input'!$K$91:$K$110,MATCH(C9,'Input'!$A$61:$A$80,0)),""))</t>
  </si>
  <si>
    <t>=IF(COUNTIF('Input'!$A$31:$A$50,C9)&lt;&gt;1,"",IF(ISNUMBER(INDEX('Input'!$Y$31:$Y$50,MATCH(C9,'Input'!$A$31:$A$50,0))),INDEX('Input'!$Y$31:$Y$50,MATCH(C9,'Input'!$A$31:$A$50,0)),""))</t>
  </si>
  <si>
    <t>INPUT | SECTION A / SECTION B</t>
    <phoneticPr fontId="10" type="noConversion"/>
  </si>
  <si>
    <t>vi) Section B Transfer Beam Check — point-load position and shear</t>
    <phoneticPr fontId="10" type="noConversion"/>
  </si>
  <si>
    <t>Section B Transfer Beam Check</t>
    <phoneticPr fontId="10" type="noConversion"/>
  </si>
  <si>
    <t>Section B Concrete Cover</t>
    <phoneticPr fontId="48" type="noConversion"/>
  </si>
  <si>
    <t>Self-weight follows the 24.5 kN/m3 density in Beam Loading. Cover reads the Section B Concrete Cover slab-SS row using the common fire hours.</t>
    <phoneticPr fontId="10" type="noConversion"/>
  </si>
  <si>
    <t>Cover follows Shared Inputs fire rating and Section B Concrete Cover schedule. Eccentricity e is in m; blank = 0.</t>
    <phoneticPr fontId="10" type="noConversion"/>
  </si>
  <si>
    <t>Member ID, dimensions and loads read from Input.</t>
    <phoneticPr fontId="10" type="noConversion"/>
  </si>
  <si>
    <t>Slab loads and geometry are read from Input. Simply-supported one-way reactions are automatic. Other supports require separate analysis.</t>
    <phoneticPr fontId="10" type="noConversion"/>
  </si>
  <si>
    <t>e: m (blank=0). Cover: linked to Section B Concrete Cover, mm to links; overwrite or clear to restore.</t>
    <phoneticPr fontId="10" type="noConversion"/>
  </si>
  <si>
    <t>Column design — linked from Section A Column Loading</t>
    <phoneticPr fontId="10" type="noConversion"/>
  </si>
  <si>
    <t>Section B — Section B Transfer Beam Check</t>
    <phoneticPr fontId="10" type="noConversion"/>
  </si>
  <si>
    <t>Select row 6–25 from Section A Transfer Beam.</t>
    <phoneticPr fontId="10" type="noConversion"/>
  </si>
  <si>
    <t>Column design moved to Section B Column Check</t>
    <phoneticPr fontId="10" type="noConversion"/>
  </si>
  <si>
    <t>Member IDs, types, spans (m), depths (mm) and supports follow used Input members. Additional members outside Input use M:Q. Check updates calculations; update the copy only on its own sheet.</t>
    <phoneticPr fontId="10" type="noConversion"/>
  </si>
  <si>
    <t>UPDATE REQUIRED</t>
    <phoneticPr fontId="10" type="noConversion"/>
  </si>
  <si>
    <t>UPDATE REQUIRED. Framing shows the previous update.</t>
    <phoneticPr fontId="10" type="noConversion"/>
  </si>
  <si>
    <t>UPDATE REQUIRED. Cached results - do not use.</t>
    <phoneticPr fontId="10" type="noConversion"/>
  </si>
  <si>
    <t>FLOOR SUMMARY / COLUMN LOAD INPUTS</t>
  </si>
  <si>
    <t>Usage is optional when LL is entered. Select Usage for a default LL; clear LL to restore it. B and D are the tributary dimensions for the column shown in Section A Column Loading.</t>
  </si>
  <si>
    <t>S.D.L. (kPa)</t>
  </si>
  <si>
    <t>Floor, usage, loads, tributary dimensions and floor counts are entered once in Input &gt; Floor Summary / Column Load Inputs. This table follows Input automatically. Update each copy from its own page.</t>
    <phoneticPr fontId="10" type="noConversion"/>
  </si>
  <si>
    <t>Section A results update as you type. Press Check for Section B; other support conditions require separate Section B analysis.</t>
    <phoneticPr fontId="10" type="noConversion"/>
  </si>
  <si>
    <t>Floor / column inputs</t>
  </si>
  <si>
    <t>INPUT | SECTION A / SECTION B</t>
  </si>
  <si>
    <t>SLAB INPUTS - ONE WAY</t>
  </si>
  <si>
    <t>Enter each slab once. Usage may be blank when LL is entered. Section A updates immediately; Check updates Section B.</t>
  </si>
  <si>
    <t>SECONDARY BEAM INPUTS</t>
  </si>
  <si>
    <t>Choose the slab IDs carried on each side. Section B supports simply-supported members here; use the CB table for cantilevers.</t>
  </si>
  <si>
    <t>MAIN BEAM INPUTS</t>
  </si>
  <si>
    <t>Enter main beam dimensions and support condition. Define the secondary beam connections below.</t>
  </si>
  <si>
    <t>MAIN / SECONDARY BEAM CONNECTIONS</t>
  </si>
  <si>
    <t>Enter main beam ID, secondary beam ID, connection side and position along the main beam.</t>
  </si>
  <si>
    <t>Member type</t>
  </si>
  <si>
    <t>Point DL (kN)</t>
  </si>
  <si>
    <t>Point LL (kN)</t>
  </si>
  <si>
    <t>Point distance (m)</t>
  </si>
  <si>
    <t>Eccentricity (m)</t>
  </si>
  <si>
    <t>Cantilever: fixed-end section</t>
  </si>
  <si>
    <t>SECTION B | CANTILEVER BEAM</t>
    <phoneticPr fontId="10" type="noConversion"/>
  </si>
  <si>
    <t>Fixed-end moment (hogging)</t>
    <phoneticPr fontId="28" type="noConversion"/>
  </si>
  <si>
    <t>Fixed-end shear</t>
    <phoneticPr fontId="28" type="noConversion"/>
  </si>
  <si>
    <t>Effective depth from bottom</t>
    <phoneticPr fontId="28" type="noConversion"/>
  </si>
  <si>
    <t>Provide bottom compression steel</t>
    <phoneticPr fontId="28" type="noConversion"/>
  </si>
  <si>
    <t>Provide top tension steel</t>
    <phoneticPr fontId="28" type="noConversion"/>
  </si>
  <si>
    <t>Rows 40-43 / 110-113: bottom compression steel. Rows 44-47 / 114-117: top tension steel. Manual changes are saved for this CB member.</t>
    <phoneticPr fontId="10" type="noConversion"/>
  </si>
  <si>
    <t>Scope: fixed-free rectangular beam; downward loads; bending, shear, torsion, reinforcement fit and L/d. Crack width, anchorage and support capacity are outside this check.</t>
    <phoneticPr fontId="10" type="noConversion"/>
  </si>
  <si>
    <t>Bottom compression 5</t>
    <phoneticPr fontId="10" type="noConversion"/>
  </si>
  <si>
    <t>Top tension 5</t>
    <phoneticPr fontId="10" type="noConversion"/>
  </si>
  <si>
    <t>Bottom compression 6</t>
    <phoneticPr fontId="10" type="noConversion"/>
  </si>
  <si>
    <t>Top tension 6</t>
    <phoneticPr fontId="10" type="noConversion"/>
  </si>
  <si>
    <t>Bottom compression 7</t>
    <phoneticPr fontId="10" type="noConversion"/>
  </si>
  <si>
    <t>Top tension 7</t>
    <phoneticPr fontId="10" type="noConversion"/>
  </si>
  <si>
    <t>Bottom compression 8</t>
    <phoneticPr fontId="10" type="noConversion"/>
  </si>
  <si>
    <t>Top tension 8</t>
    <phoneticPr fontId="10" type="noConversion"/>
  </si>
  <si>
    <t>_Input Engine'!F181:F200</t>
    <phoneticPr fontId="10" type="noConversion"/>
  </si>
  <si>
    <t>AUTO / MANUAL reinforcement: changes are saved for this CB member. UPDATE checks; Restore Auto reselects.</t>
    <phoneticPr fontId="10" type="noConversion"/>
  </si>
  <si>
    <t>MAIN BEAM FRAMING PREVIEW</t>
    <phoneticPr fontId="10" type="noConversion"/>
  </si>
  <si>
    <t>Enter a cantilever beam in Input and press Check.</t>
    <phoneticPr fontId="10" type="noConversion"/>
  </si>
  <si>
    <t>INPUT REQUIRED: enter span, section and loads in Input.</t>
  </si>
  <si>
    <t>Span/Depth</t>
  </si>
  <si>
    <t>Limit check</t>
  </si>
  <si>
    <t>Member group</t>
  </si>
  <si>
    <t>Beam / Slab</t>
  </si>
  <si>
    <t>Transfer Beam</t>
  </si>
  <si>
    <t>Beam / Slab includes S, SB, MB, CB and CS.</t>
  </si>
  <si>
    <t>Input has separate grade / fire-hour groups: Beam / Slab, Column and Transfer Beam.</t>
    <phoneticPr fontId="10" type="noConversion"/>
  </si>
  <si>
    <t>Beam / Slab cover uses Input F3; column uses F4; transfer beam uses F5. Wall / table reference uses B3.</t>
    <phoneticPr fontId="10" type="noConversion"/>
  </si>
  <si>
    <t>ADDITIONAL MEMBERS / CANTILEVER BEAMS AND SLABS</t>
    <phoneticPr fontId="10" type="noConversion"/>
  </si>
  <si>
    <t>CB: line loads (kN/m) + optional point load. CS: one-way, fixed-free, uniformly loaded 1 m strip; G:I in kPa. DL excludes self-weight.</t>
    <phoneticPr fontId="10" type="noConversion"/>
  </si>
  <si>
    <t>DL excl. SW (CB kN/m; CS kPa)</t>
    <phoneticPr fontId="10" type="noConversion"/>
  </si>
  <si>
    <t>SDL (CB kN/m; CS kPa)</t>
    <phoneticPr fontId="10" type="noConversion"/>
  </si>
  <si>
    <t>LL (CB kN/m; CS kPa)</t>
    <phoneticPr fontId="10" type="noConversion"/>
  </si>
  <si>
    <t>Width (mm) CB only</t>
    <phoneticPr fontId="10" type="noConversion"/>
  </si>
  <si>
    <t>Top bars</t>
    <phoneticPr fontId="48" type="noConversion"/>
  </si>
  <si>
    <t>SECTION B | CANTILEVER SLAB</t>
    <phoneticPr fontId="10" type="noConversion"/>
  </si>
  <si>
    <t>Fixed-free, one-way 1 m strip under downward UDL. Top bars resist fixed-end tension. Cover uses existing slab-SS table row.</t>
    <phoneticPr fontId="10" type="noConversion"/>
  </si>
  <si>
    <t>Cantilever support shear V = wL. No independent crack-width, anchorage or support-bearing calculation.</t>
    <phoneticPr fontId="10" type="noConversion"/>
  </si>
  <si>
    <t>CHECK REQUIRED</t>
    <phoneticPr fontId="10" type="noConversion"/>
  </si>
  <si>
    <t>AUTO: top main and transverse bars</t>
    <phoneticPr fontId="10" type="noConversion"/>
  </si>
  <si>
    <t>Fixed end at left; top tension reinforcement (section schematic)</t>
  </si>
  <si>
    <t>Transverse</t>
  </si>
  <si>
    <t>Select CS on Input summary. Geometry / loads follow this member; grade / fire follow Beam / Slab.</t>
    <phoneticPr fontId="10" type="noConversion"/>
  </si>
  <si>
    <t>Cinema</t>
  </si>
  <si>
    <t>Clubhouse</t>
  </si>
  <si>
    <t>User Loading Key Table (photo, 22 Sep 2026). LL 5.0 kPa.</t>
  </si>
  <si>
    <t>EVA / loading and unloading</t>
  </si>
  <si>
    <t>User Loading Key Table (photo, 22 Sep 2026). LL 21.9-30.6 kPa, Class 6D / Note 5. Enter LL manually for the applicable vehicle/loading conditions.</t>
  </si>
  <si>
    <t>Kitchen (Residential)</t>
  </si>
  <si>
    <t>User Loading Key Table (photo, 22 Sep 2026). Residential kitchen LL 2.0 kPa.</t>
  </si>
  <si>
    <t>User Loading Key Table (photo, 22 Sep 2026). LL 5.0 kPa; soil/finish load is separate and is not added automatically.</t>
  </si>
  <si>
    <t>Lift machine room - Above shaft</t>
  </si>
  <si>
    <t>LL-30.0</t>
  </si>
  <si>
    <t>User Loading Key Table (photo, 22 Sep 2026). Area above lift shaft: LL 30 kPa.</t>
  </si>
  <si>
    <t>Lift machine room - General area</t>
  </si>
  <si>
    <t>LL-10.0</t>
  </si>
  <si>
    <t>User Loading Key Table (photo, 22 Sep 2026). General area: LL 10 kPa.</t>
  </si>
  <si>
    <t>Lobby</t>
  </si>
  <si>
    <t>Pedestrian Walkway</t>
  </si>
  <si>
    <t>Potable Water Room</t>
  </si>
  <si>
    <t>User Loading Key Table (photo, 22 Sep 2026). LL 7.5 kPa.</t>
  </si>
  <si>
    <t>Pump Room</t>
  </si>
  <si>
    <t>Staircase - Public (5 kPa)</t>
  </si>
  <si>
    <t>HK DIL 2011 (2021), Table 3.9, p.13. Same LL as served floor, minimum 3 and maximum 5 kPa; this option is 5.0. Concentrated load 4.5 kN.</t>
  </si>
  <si>
    <t>Staircase - Residential (3 kPa)</t>
  </si>
  <si>
    <t>HK DIL 2011 (2021), Table 3.9, p.13. Same LL as served floor, minimum 3 and maximum 5 kPa; this option is 3.0. Concentrated load 4.5 kN.</t>
  </si>
  <si>
    <t>Swimming Pool</t>
  </si>
  <si>
    <t>LL-12.0</t>
  </si>
  <si>
    <t>User Loading Key Table (photo, 22 Sep 2026). LL 12.0 kPa assumes water depth 1.2 m (Note 2). Override LL for a different depth.</t>
  </si>
  <si>
    <t>Switch Room</t>
  </si>
  <si>
    <t>LL-20.0</t>
  </si>
  <si>
    <t>User Loading Key Table (photo, 22 Sep 2026). LL 20 kPa.</t>
  </si>
  <si>
    <t>Toilet / Bathroom</t>
  </si>
  <si>
    <t>Residential use: HK DIL 2011 (2021), Table 3.2 Class 1, p.5. LL 2.0 kPa; concentrated load 2.0 kN. Jacuzzi loads assessed separately.</t>
  </si>
  <si>
    <t>TX Room</t>
  </si>
  <si>
    <t>User Loading Key Table (photo, 22 Sep 2026). LL 30 kPa.</t>
  </si>
  <si>
    <t>Utility platforms</t>
  </si>
  <si>
    <t>User Loading Key Table (photo, 22 Sep 2026). LL 4.0 kPa default. HK DIL Table 3.9: at least 4.0 and not less than the served floor LL.</t>
  </si>
  <si>
    <t>Water Tank</t>
  </si>
  <si>
    <t>User Loading Key Table (photo, 22 Sep 2026). Enter LL manually = 10 x water depth in metres (kPa). No fixed water depth assumed.</t>
  </si>
  <si>
    <t>Basis / conditions</t>
  </si>
  <si>
    <t>Usage lookup - code values and user Loading Key Table defaults; see conditions in column D.</t>
    <phoneticPr fontId="10" type="noConversion"/>
  </si>
  <si>
    <t>RC Loads</t>
  </si>
  <si>
    <t>Start</t>
  </si>
  <si>
    <t>End</t>
  </si>
  <si>
    <t>G</t>
  </si>
  <si>
    <t>Q</t>
  </si>
  <si>
    <t>Source</t>
  </si>
  <si>
    <t>RC Load Results</t>
  </si>
  <si>
    <t>L</t>
  </si>
  <si>
    <t>M</t>
  </si>
  <si>
    <t>V</t>
  </si>
  <si>
    <t>RA</t>
  </si>
  <si>
    <t>RB</t>
  </si>
  <si>
    <t>X</t>
  </si>
  <si>
    <t>Status</t>
  </si>
  <si>
    <t>Project Floors</t>
  </si>
  <si>
    <t>POINT: G/Q in kN, Start=End=x. LINE: G/Q in kN/m, Start/End in m. Add table rows as needed.</t>
  </si>
  <si>
    <t>Simply supported. ULS = 1.4 G + 1.6 Q. Reactions and exact maximum moment use every load row.</t>
  </si>
  <si>
    <t>Section B - model column dimensions</t>
  </si>
  <si>
    <t>Blank dimensions use the original Section A preliminary size. Column loads remain linked to the shared area schedule.</t>
  </si>
  <si>
    <t>Depth h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</si>
</sst>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76" formatCode="0.0"/>
    <numFmt numFmtId="177" formatCode="#,##0.0"/>
    <numFmt numFmtId="178" formatCode="0.0%"/>
    <numFmt numFmtId="179" formatCode="0.000"/>
    <numFmt numFmtId="180" formatCode=";;;"/>
    <numFmt numFmtId="181" formatCode="&quot;C&quot;0"/>
    <numFmt numFmtId="182" formatCode="0.###"/>
    <numFmt numFmtId="183" formatCode="&quot;T&quot;\ #\ "/>
    <numFmt numFmtId="184" formatCode="0.00_ "/>
    <numFmt numFmtId="185" formatCode="0_ "/>
    <numFmt numFmtId="186" formatCode="0.000_ "/>
    <numFmt numFmtId="187" formatCode="0.00_);[Red]\(0.00\)"/>
    <numFmt numFmtId="188" formatCode="0.0_ "/>
    <numFmt numFmtId="189" formatCode="&quot;T&quot;\ #\ &quot;-&quot;"/>
    <numFmt numFmtId="190" formatCode="0_);[Red]\(0\)"/>
    <numFmt numFmtId="191" formatCode="General&quot; mm&quot;"/>
    <numFmt numFmtId="192" formatCode="General&quot; MPa&quot;"/>
    <numFmt numFmtId="193" formatCode="0&quot; mm&quot;"/>
    <numFmt numFmtId="194" formatCode="General&quot; kPa&quot;"/>
    <numFmt numFmtId="195" formatCode="0.0&quot; kPa&quot;"/>
    <numFmt numFmtId="196" formatCode="&quot;=&quot;\ 0.00\ &quot;kN-m/m&quot;"/>
    <numFmt numFmtId="197" formatCode="&quot;&lt;&quot;0.000"/>
    <numFmt numFmtId="198" formatCode="0.00&quot;d&quot;"/>
    <numFmt numFmtId="199" formatCode="&quot;&lt;&quot;\ 0.00&quot;d&quot;"/>
    <numFmt numFmtId="200" formatCode="0.00\ &quot;d&quot;"/>
    <numFmt numFmtId="201" formatCode="&quot;T&quot;0"/>
    <numFmt numFmtId="202" formatCode="&quot;(&quot;0&quot; mm2/m)&quot;"/>
    <numFmt numFmtId="203" formatCode="&quot;T&quot;0\ &quot;@&quot;"/>
    <numFmt numFmtId="204" formatCode="0&quot; Hr&quot;"/>
    <numFmt numFmtId="205" formatCode="0.##"/>
    <numFmt numFmtId="206" formatCode="0.0&quot;%&quot;"/>
    <numFmt numFmtId="207" formatCode="#,##0.###"/>
    <numFmt numFmtId="208" formatCode="#,##0.000"/>
  </numFmts>
  <fonts count="91">
    <font>
      <sz val="11"/>
      <name val="Carlito"/>
    </font>
    <font>
      <sz val="10"/>
      <color rgb="FF1F1F1F"/>
      <name val="Arial"/>
      <family val="2"/>
    </font>
    <font>
      <b/>
      <sz val="14"/>
      <color rgb="FF1F1F1F"/>
      <name val="Arial"/>
      <family val="2"/>
    </font>
    <font>
      <sz val="9"/>
      <color rgb="FF5B6573"/>
      <name val="Arial"/>
      <family val="2"/>
    </font>
    <font>
      <b/>
      <sz val="10"/>
      <color rgb="FFFFFFFF"/>
      <name val="Arial"/>
      <family val="2"/>
    </font>
    <font>
      <b/>
      <sz val="10"/>
      <color rgb="FF1F4E78"/>
      <name val="Arial"/>
      <family val="2"/>
    </font>
    <font>
      <b/>
      <sz val="10"/>
      <color rgb="FF1F1F1F"/>
      <name val="Arial"/>
      <family val="2"/>
    </font>
    <font>
      <sz val="10"/>
      <color rgb="FF5B6573"/>
      <name val="Arial"/>
      <family val="2"/>
    </font>
    <font>
      <b/>
      <sz val="11"/>
      <color rgb="FF1F1F1F"/>
      <name val="Arial"/>
      <family val="2"/>
    </font>
    <font>
      <sz val="11"/>
      <name val="Carlito"/>
    </font>
    <font>
      <sz val="9"/>
      <name val="宋体"/>
      <family val="3"/>
      <charset val="134"/>
    </font>
    <font>
      <b/>
      <sz val="9"/>
      <color rgb="FF5B6573"/>
      <name val="Arial"/>
      <family val="2"/>
    </font>
    <font>
      <b/>
      <sz val="13"/>
      <color rgb="FF1F4E78"/>
      <name val="Arial"/>
      <family val="2"/>
    </font>
    <font>
      <sz val="9"/>
      <color rgb="FF1F1F1F"/>
      <name val="Arial"/>
      <family val="2"/>
    </font>
    <font>
      <b/>
      <sz val="9"/>
      <color rgb="FFFFFFFF"/>
      <name val="Arial"/>
      <family val="2"/>
    </font>
    <font>
      <b/>
      <sz val="9"/>
      <color rgb="FF1F1F1F"/>
      <name val="Arial"/>
      <family val="2"/>
    </font>
    <font>
      <i/>
      <sz val="8"/>
      <color rgb="FF5B6573"/>
      <name val="Arial"/>
      <family val="2"/>
    </font>
    <font>
      <sz val="10"/>
      <color rgb="FF222222"/>
      <name val="Arial"/>
      <family val="2"/>
    </font>
    <font>
      <sz val="9"/>
      <color rgb="FFFFFFFF"/>
      <name val="Arial"/>
      <family val="2"/>
    </font>
    <font>
      <sz val="8"/>
      <color rgb="FFFFFFFF"/>
      <name val="Arial"/>
      <family val="2"/>
    </font>
    <font>
      <sz val="10"/>
      <color rgb="FF000000"/>
      <name val="Arial"/>
      <family val="2"/>
    </font>
    <font>
      <b/>
      <sz val="11"/>
      <color rgb="FFFFFFFF"/>
      <name val="Arial"/>
      <family val="2"/>
    </font>
    <font>
      <b/>
      <sz val="11"/>
      <color rgb="FF000000"/>
      <name val="Arial"/>
      <family val="2"/>
    </font>
    <font>
      <sz val="11"/>
      <color rgb="FF000000"/>
      <name val="Carlito"/>
    </font>
    <font>
      <sz val="11"/>
      <color rgb="FF000000"/>
      <name val="Arial"/>
      <family val="2"/>
    </font>
    <font>
      <b/>
      <sz val="11"/>
      <color rgb="FFFFFFFF"/>
      <name val="Carlito"/>
    </font>
    <font>
      <sz val="11"/>
      <name val="Arial"/>
      <family val="2"/>
    </font>
    <font>
      <b/>
      <sz val="11"/>
      <color rgb="FFFFFFFF"/>
      <name val="Carlito"/>
      <family val="2"/>
    </font>
    <font>
      <sz val="10"/>
      <name val="Arial"/>
      <family val="2"/>
    </font>
    <font>
      <b/>
      <sz val="12"/>
      <color rgb="FFFFFFFF"/>
      <name val="Arial"/>
      <family val="2"/>
    </font>
    <font>
      <sz val="9"/>
      <name val="Arial"/>
      <family val="2"/>
    </font>
    <font>
      <u/>
      <sz val="11"/>
      <color theme="10"/>
      <name val="Carlito"/>
    </font>
    <font>
      <b/>
      <sz val="10"/>
      <name val="Arial"/>
      <family val="2"/>
    </font>
    <font>
      <u/>
      <sz val="11"/>
      <color theme="10"/>
      <name val="Arial"/>
      <family val="2"/>
    </font>
    <font>
      <b/>
      <sz val="11"/>
      <name val="Arial"/>
      <family val="2"/>
    </font>
    <font>
      <b/>
      <sz val="15"/>
      <name val="Arial"/>
      <family val="2"/>
    </font>
    <font>
      <u/>
      <sz val="11"/>
      <color rgb="FF000000"/>
      <name val="Arial"/>
      <family val="2"/>
    </font>
    <font>
      <sz val="8"/>
      <name val="Arial"/>
      <family val="2"/>
    </font>
    <font>
      <b/>
      <sz val="8"/>
      <name val="Arial"/>
      <family val="2"/>
    </font>
    <font>
      <b/>
      <sz val="8"/>
      <color indexed="10"/>
      <name val="Arial"/>
      <family val="2"/>
    </font>
    <font>
      <sz val="9"/>
      <name val="細明體"/>
      <family val="3"/>
      <charset val="136"/>
    </font>
    <font>
      <sz val="8"/>
      <color indexed="12"/>
      <name val="Arial"/>
      <family val="2"/>
    </font>
    <font>
      <b/>
      <sz val="8"/>
      <color indexed="50"/>
      <name val="Arial"/>
      <family val="2"/>
    </font>
    <font>
      <sz val="8"/>
      <color rgb="FF000000"/>
      <name val="Arial"/>
      <family val="2"/>
    </font>
    <font>
      <b/>
      <sz val="9"/>
      <color rgb="FF000000"/>
      <name val="Arial"/>
      <family val="2"/>
    </font>
    <font>
      <sz val="10"/>
      <color rgb="FF305F91"/>
      <name val="Arial"/>
      <family val="2"/>
    </font>
    <font>
      <sz val="12"/>
      <name val="新細明體"/>
      <family val="1"/>
      <charset val="136"/>
    </font>
    <font>
      <sz val="12"/>
      <name val="Arial"/>
      <family val="2"/>
    </font>
    <font>
      <sz val="9"/>
      <name val="新細明體"/>
      <family val="1"/>
      <charset val="136"/>
    </font>
    <font>
      <b/>
      <sz val="10"/>
      <color indexed="10"/>
      <name val="Arial"/>
      <family val="2"/>
    </font>
    <font>
      <sz val="10"/>
      <color rgb="FF0000FF"/>
      <name val="Arial"/>
      <family val="2"/>
    </font>
    <font>
      <b/>
      <sz val="10"/>
      <color rgb="FF305F91"/>
      <name val="Arial"/>
      <family val="2"/>
    </font>
    <font>
      <b/>
      <sz val="10"/>
      <color rgb="FF000000"/>
      <name val="Arial"/>
      <family val="2"/>
    </font>
    <font>
      <sz val="9"/>
      <color rgb="FF000000"/>
      <name val="Arial"/>
      <family val="2"/>
    </font>
    <font>
      <sz val="8"/>
      <color indexed="10"/>
      <name val="Arial"/>
      <family val="2"/>
    </font>
    <font>
      <sz val="11"/>
      <color rgb="FFFFFFFF"/>
      <name val="Arial"/>
      <family val="2"/>
    </font>
    <font>
      <b/>
      <sz val="12"/>
      <color rgb="FFFFFFFF"/>
      <name val="Carlito"/>
    </font>
    <font>
      <sz val="10"/>
      <name val="Carlito"/>
    </font>
    <font>
      <b/>
      <sz val="10"/>
      <color rgb="FFFFFFFF"/>
      <name val="Carlito"/>
    </font>
    <font>
      <vertAlign val="subscript"/>
      <sz val="10"/>
      <color rgb="FF000000"/>
      <name val="Arial"/>
      <family val="2"/>
    </font>
    <font>
      <sz val="10"/>
      <color rgb="FF000000"/>
      <name val="新細明體"/>
      <family val="1"/>
      <charset val="136"/>
    </font>
    <font>
      <i/>
      <sz val="10"/>
      <color rgb="FF000000"/>
      <name val="Arial"/>
      <family val="2"/>
    </font>
    <font>
      <sz val="10"/>
      <color rgb="FF000000"/>
      <name val="細明體"/>
      <family val="3"/>
      <charset val="136"/>
    </font>
    <font>
      <b/>
      <i/>
      <sz val="10"/>
      <color rgb="FF000000"/>
      <name val="Arial"/>
      <family val="2"/>
    </font>
    <font>
      <i/>
      <u/>
      <sz val="10"/>
      <color rgb="FF000000"/>
      <name val="Arial"/>
      <family val="2"/>
    </font>
    <font>
      <u/>
      <sz val="10"/>
      <color rgb="FF000000"/>
      <name val="Arial"/>
      <family val="2"/>
    </font>
    <font>
      <b/>
      <sz val="10"/>
      <color rgb="FF205E78"/>
      <name val="Arial"/>
      <family val="2"/>
    </font>
    <font>
      <b/>
      <sz val="10"/>
      <color rgb="FFAA2D23"/>
      <name val="Arial"/>
      <family val="2"/>
    </font>
    <font>
      <sz val="10"/>
      <color rgb="FFFFFFFF"/>
      <name val="Arial"/>
      <family val="2"/>
    </font>
    <font>
      <b/>
      <i/>
      <sz val="11"/>
      <color rgb="FFFFFFFF"/>
      <name val="Arial"/>
      <family val="2"/>
    </font>
    <font>
      <sz val="9"/>
      <color rgb="FFAA2D23"/>
      <name val="Arial"/>
      <family val="2"/>
    </font>
    <font>
      <b/>
      <u/>
      <sz val="11"/>
      <color rgb="FFFFFFFF"/>
      <name val="Arial"/>
      <family val="2"/>
    </font>
    <font>
      <sz val="10"/>
      <color rgb="FF800000"/>
      <name val="Arial"/>
      <family val="2"/>
    </font>
    <font>
      <vertAlign val="superscript"/>
      <sz val="10"/>
      <color rgb="FF000000"/>
      <name val="Arial"/>
      <family val="2"/>
    </font>
    <font>
      <sz val="11"/>
      <color rgb="FF205E73"/>
      <name val="Arial"/>
      <family val="2"/>
    </font>
    <font>
      <sz val="10"/>
      <color rgb="FF205E73"/>
      <name val="Arial"/>
      <family val="2"/>
    </font>
    <font>
      <sz val="10"/>
      <color rgb="FFAA2D23"/>
      <name val="Arial"/>
      <family val="2"/>
    </font>
    <font>
      <b/>
      <sz val="11"/>
      <color rgb="FF204155"/>
      <name val="Arial"/>
      <family val="2"/>
    </font>
    <font>
      <b/>
      <sz val="10"/>
      <color rgb="FF205E73"/>
      <name val="Arial"/>
      <family val="2"/>
    </font>
    <font>
      <i/>
      <sz val="11"/>
      <color rgb="FF205E73"/>
      <name val="Arial"/>
      <family val="2"/>
    </font>
    <font>
      <i/>
      <sz val="9"/>
      <color rgb="FF205E73"/>
      <name val="Arial"/>
      <family val="2"/>
    </font>
    <font>
      <b/>
      <sz val="16"/>
      <color rgb="FFFFFFFF"/>
      <name val="Arial"/>
      <family val="2"/>
    </font>
    <font>
      <b/>
      <sz val="10"/>
      <color rgb="FF204155"/>
      <name val="Arial"/>
      <family val="2"/>
    </font>
    <font>
      <sz val="10"/>
      <color rgb="FF00468C"/>
      <name val="Arial"/>
      <family val="2"/>
    </font>
    <font>
      <sz val="11"/>
      <color rgb="FF205E73"/>
      <name val="Carlito"/>
    </font>
    <font>
      <sz val="9"/>
      <name val="Carlito"/>
    </font>
    <font>
      <sz val="9"/>
      <name val="Carlito"/>
      <family val="2"/>
    </font>
    <font>
      <sz val="11"/>
      <color rgb="FF1F1F1F"/>
      <name val="Arial"/>
      <family val="2"/>
    </font>
    <font>
      <sz val="11"/>
      <color rgb="FFAA5023"/>
      <name val="Arial"/>
      <family val="2"/>
    </font>
    <font>
      <b/>
      <sz val="15"/>
      <name val="Carlito"/>
    </font>
    <font>
      <b/>
      <sz val="11"/>
      <name val="Carlito"/>
    </font>
  </fonts>
  <fills count="35">
    <fill>
      <patternFill patternType="none"/>
    </fill>
    <fill>
      <patternFill patternType="gray125"/>
    </fill>
    <fill>
      <patternFill patternType="solid">
        <fgColor rgb="FF1F4E78"/>
      </patternFill>
    </fill>
    <fill>
      <patternFill patternType="solid">
        <fgColor rgb="FFD9EAF7"/>
      </patternFill>
    </fill>
    <fill>
      <patternFill patternType="solid">
        <fgColor rgb="FF1F4E78"/>
      </patternFill>
    </fill>
    <fill>
      <patternFill patternType="solid">
        <fgColor rgb="FFD9EAF7"/>
      </patternFill>
    </fill>
    <fill>
      <patternFill patternType="solid">
        <fgColor rgb="FF1F4E78"/>
      </patternFill>
    </fill>
    <fill>
      <patternFill patternType="solid">
        <fgColor rgb="FFEEF5FA"/>
      </patternFill>
    </fill>
    <fill>
      <patternFill patternType="solid">
        <fgColor rgb="FFD9EAF7"/>
      </patternFill>
    </fill>
    <fill>
      <patternFill patternType="solid">
        <fgColor rgb="FFD9EAF7"/>
      </patternFill>
    </fill>
    <fill>
      <patternFill patternType="solid">
        <fgColor rgb="FFEEF5FA"/>
      </patternFill>
    </fill>
    <fill>
      <patternFill patternType="solid">
        <fgColor rgb="FFD9EAF7"/>
      </patternFill>
    </fill>
    <fill>
      <patternFill patternType="solid">
        <fgColor rgb="FF1F4E78"/>
      </patternFill>
    </fill>
    <fill>
      <patternFill patternType="solid">
        <fgColor rgb="FF1F4E78"/>
      </patternFill>
    </fill>
    <fill>
      <patternFill patternType="solid">
        <fgColor rgb="FFF0F0F0"/>
        <bgColor indexed="64"/>
      </patternFill>
    </fill>
    <fill>
      <patternFill patternType="solid">
        <fgColor rgb="FFF2F2F2"/>
        <bgColor indexed="64"/>
      </patternFill>
    </fill>
    <fill>
      <patternFill patternType="solid">
        <fgColor rgb="FF1F4E78"/>
        <bgColor indexed="64"/>
      </patternFill>
    </fill>
    <fill>
      <patternFill patternType="solid">
        <fgColor rgb="FFFFF2CC"/>
        <bgColor indexed="64"/>
      </patternFill>
    </fill>
    <fill>
      <patternFill patternType="solid">
        <fgColor rgb="FFFFFFFF"/>
        <bgColor indexed="64"/>
      </patternFill>
    </fill>
    <fill>
      <patternFill patternType="solid">
        <fgColor rgb="FFDCE6F1"/>
      </patternFill>
    </fill>
    <fill>
      <patternFill patternType="solid">
        <fgColor rgb="FFD9E1F2"/>
        <bgColor indexed="64"/>
      </patternFill>
    </fill>
    <fill>
      <patternFill patternType="solid">
        <fgColor rgb="FF204E78"/>
        <bgColor indexed="64"/>
      </patternFill>
    </fill>
    <fill>
      <patternFill patternType="solid">
        <fgColor rgb="FF1F5E78"/>
        <bgColor indexed="64"/>
      </patternFill>
    </fill>
    <fill>
      <patternFill patternType="solid">
        <fgColor rgb="FF284060"/>
        <bgColor indexed="64"/>
      </patternFill>
    </fill>
    <fill>
      <patternFill patternType="solid">
        <fgColor rgb="FF205E78"/>
        <bgColor indexed="64"/>
      </patternFill>
    </fill>
    <fill>
      <patternFill patternType="solid">
        <fgColor rgb="FFE1E1E1"/>
        <bgColor indexed="64"/>
      </patternFill>
    </fill>
    <fill>
      <patternFill patternType="solid">
        <fgColor rgb="FF205E73"/>
        <bgColor indexed="64"/>
      </patternFill>
    </fill>
    <fill>
      <patternFill patternType="solid">
        <fgColor rgb="FFFFF3CD"/>
        <bgColor indexed="64"/>
      </patternFill>
    </fill>
    <fill>
      <patternFill patternType="solid">
        <fgColor rgb="FF205E75"/>
        <bgColor indexed="64"/>
      </patternFill>
    </fill>
    <fill>
      <patternFill patternType="solid">
        <fgColor rgb="FFE8F1F5"/>
        <bgColor indexed="64"/>
      </patternFill>
    </fill>
    <fill>
      <patternFill patternType="solid">
        <fgColor rgb="FFE4EDF2"/>
        <bgColor indexed="64"/>
      </patternFill>
    </fill>
    <fill>
      <patternFill patternType="solid">
        <fgColor rgb="FF1F3757"/>
        <bgColor indexed="64"/>
      </patternFill>
    </fill>
    <fill>
      <patternFill patternType="solid">
        <fgColor rgb="FFDDEBF7"/>
        <bgColor indexed="64"/>
      </patternFill>
    </fill>
    <fill>
      <patternFill patternType="solid">
        <fgColor rgb="FF203E75"/>
        <bgColor indexed="64"/>
      </patternFill>
    </fill>
    <fill>
      <patternFill patternType="solid">
        <fgColor rgb="FFFFF3BF"/>
        <bgColor indexed="64"/>
      </patternFill>
    </fill>
  </fills>
  <borders count="34">
    <border>
      <left/>
      <right/>
      <top/>
      <bottom/>
      <diagonal/>
    </border>
    <border>
      <left style="thin">
        <color rgb="FF9FBAD0"/>
      </left>
      <right style="thin">
        <color rgb="FF9FBAD0"/>
      </right>
      <top style="thin">
        <color rgb="FF9FBAD0"/>
      </top>
      <bottom style="thin">
        <color rgb="FF9FBAD0"/>
      </bottom>
      <diagonal/>
    </border>
    <border>
      <left style="thin">
        <color rgb="FFD9D9D9"/>
      </left>
      <right style="thin">
        <color rgb="FFD9D9D9"/>
      </right>
      <top style="thin">
        <color rgb="FFD9D9D9"/>
      </top>
      <bottom style="thin">
        <color rgb="FFD9D9D9"/>
      </bottom>
      <diagonal/>
    </border>
    <border>
      <left/>
      <right/>
      <top/>
      <bottom style="thin">
        <color rgb="FF9FBAD0"/>
      </bottom>
      <diagonal/>
    </border>
    <border>
      <left style="thin">
        <color rgb="FFD3D3D3"/>
      </left>
      <right style="thin">
        <color rgb="FFD3D3D3"/>
      </right>
      <top style="thin">
        <color rgb="FFD3D3D3"/>
      </top>
      <bottom style="thin">
        <color rgb="FFD3D3D3"/>
      </bottom>
      <diagonal/>
    </border>
    <border>
      <left style="thin">
        <color rgb="FFD3D3D3"/>
      </left>
      <right/>
      <top style="thin">
        <color rgb="FFD3D3D3"/>
      </top>
      <bottom/>
      <diagonal/>
    </border>
    <border>
      <left style="thin">
        <color rgb="FFD3D3D3"/>
      </left>
      <right style="thin">
        <color rgb="FFD3D3D3"/>
      </right>
      <top style="thin">
        <color rgb="FFD3D3D3"/>
      </top>
      <bottom/>
      <diagonal/>
    </border>
    <border>
      <left style="thin">
        <color rgb="FFD3D3D3"/>
      </left>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style="thin">
        <color rgb="FFD3D3D3"/>
      </top>
      <bottom style="thin">
        <color rgb="FFD3D3D3"/>
      </bottom>
      <diagonal/>
    </border>
    <border>
      <left/>
      <right style="thin">
        <color rgb="FFD3D3D3"/>
      </right>
      <top style="thin">
        <color rgb="FFD3D3D3"/>
      </top>
      <bottom/>
      <diagonal/>
    </border>
    <border>
      <left style="thin">
        <color rgb="FFD3D3D3"/>
      </left>
      <right/>
      <top/>
      <bottom style="thin">
        <color rgb="FFD3D3D3"/>
      </bottom>
      <diagonal/>
    </border>
    <border>
      <left/>
      <right/>
      <top/>
      <bottom style="thin">
        <color rgb="FFD3D3D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rgb="FFE6E6E6"/>
      </left>
      <right style="thin">
        <color rgb="FFE6E6E6"/>
      </right>
      <top style="thin">
        <color rgb="FFE6E6E6"/>
      </top>
      <bottom style="thin">
        <color rgb="FFE6E6E6"/>
      </bottom>
      <diagonal/>
    </border>
    <border>
      <left/>
      <right/>
      <top style="thin">
        <color rgb="FFE6E6E6"/>
      </top>
      <bottom/>
      <diagonal/>
    </border>
    <border>
      <left/>
      <right/>
      <top/>
      <bottom style="thin">
        <color rgb="FFE6E6E6"/>
      </bottom>
      <diagonal/>
    </border>
    <border>
      <left/>
      <right/>
      <top style="hair">
        <color rgb="FFD3E0E7"/>
      </top>
      <bottom style="hair">
        <color rgb="FFD3E0E7"/>
      </bottom>
      <diagonal/>
    </border>
    <border>
      <left/>
      <right/>
      <top style="hair">
        <color rgb="FFD3E0E7"/>
      </top>
      <bottom/>
      <diagonal/>
    </border>
    <border>
      <left/>
      <right/>
      <top/>
      <bottom style="thin">
        <color rgb="FFDBE9F0"/>
      </bottom>
      <diagonal/>
    </border>
    <border>
      <left/>
      <right/>
      <top style="thin">
        <color rgb="FFDBE9F0"/>
      </top>
      <bottom/>
      <diagonal/>
    </border>
    <border>
      <left/>
      <right/>
      <top style="thin">
        <color rgb="FFDBE9F0"/>
      </top>
      <bottom style="thin">
        <color rgb="FFDBE9F0"/>
      </bottom>
      <diagonal/>
    </border>
    <border>
      <left style="thin">
        <color rgb="FFDDDDDD"/>
      </left>
      <right style="thin">
        <color rgb="FFDDDDDD"/>
      </right>
      <top style="thin">
        <color rgb="FFDDDDDD"/>
      </top>
      <bottom style="thin">
        <color rgb="FFDDDDDD"/>
      </bottom>
      <diagonal/>
    </border>
    <border>
      <left style="thin">
        <color rgb="FFDDDDDD"/>
      </left>
      <right/>
      <top/>
      <bottom/>
      <diagonal/>
    </border>
  </borders>
  <cellStyleXfs count="5">
    <xf numFmtId="0" fontId="0" fillId="0" borderId="0"/>
    <xf numFmtId="0" fontId="9" fillId="0" borderId="0"/>
    <xf numFmtId="0" fontId="31" fillId="0" borderId="0" applyNumberFormat="0" applyFill="0" applyBorder="0" applyAlignment="0" applyProtection="0"/>
    <xf numFmtId="0" fontId="28" fillId="0" borderId="0"/>
    <xf numFmtId="0" fontId="46" fillId="0" borderId="0"/>
  </cellStyleXfs>
  <cellXfs count="622">
    <xf numFmtId="0" fontId="0" fillId="0" borderId="0" xfId="0"/>
    <xf numFmtId="0" fontId="1" fillId="0" borderId="0" xfId="1" applyFont="1" applyAlignment="1">
      <alignment vertical="center"/>
    </xf>
    <xf numFmtId="0" fontId="4" fillId="2" borderId="1" xfId="1" applyFont="1" applyFill="1" applyBorder="1" applyAlignment="1">
      <alignment horizontal="center" vertical="center" wrapText="1"/>
    </xf>
    <xf numFmtId="0" fontId="1" fillId="0" borderId="1" xfId="1" applyFont="1" applyBorder="1" applyAlignment="1">
      <alignment vertical="center" wrapText="1"/>
    </xf>
    <xf numFmtId="176" fontId="1" fillId="0" borderId="1" xfId="1" applyNumberFormat="1" applyFont="1" applyBorder="1" applyAlignment="1">
      <alignment vertical="center" wrapText="1"/>
    </xf>
    <xf numFmtId="0" fontId="5" fillId="0" borderId="1" xfId="1" applyFont="1" applyBorder="1" applyAlignment="1">
      <alignment vertical="center" wrapText="1"/>
    </xf>
    <xf numFmtId="0" fontId="4" fillId="4" borderId="1" xfId="1" applyFont="1" applyFill="1" applyBorder="1" applyAlignment="1">
      <alignment horizontal="center" wrapText="1"/>
    </xf>
    <xf numFmtId="0" fontId="0" fillId="0" borderId="1" xfId="0" applyBorder="1"/>
    <xf numFmtId="0" fontId="4" fillId="6" borderId="1" xfId="0" applyFont="1" applyFill="1" applyBorder="1" applyAlignment="1">
      <alignment horizontal="center" wrapText="1"/>
    </xf>
    <xf numFmtId="0" fontId="6" fillId="7" borderId="1" xfId="0" applyFont="1" applyFill="1" applyBorder="1"/>
    <xf numFmtId="0" fontId="6" fillId="7" borderId="1" xfId="0" applyFont="1" applyFill="1" applyBorder="1" applyAlignment="1">
      <alignment horizontal="right"/>
    </xf>
    <xf numFmtId="3" fontId="6" fillId="7" borderId="1" xfId="0" applyNumberFormat="1" applyFont="1" applyFill="1" applyBorder="1" applyAlignment="1">
      <alignment horizontal="right"/>
    </xf>
    <xf numFmtId="2" fontId="18" fillId="0" borderId="0" xfId="0" applyNumberFormat="1" applyFont="1"/>
    <xf numFmtId="0" fontId="14" fillId="12" borderId="1" xfId="0" applyFont="1" applyFill="1" applyBorder="1" applyAlignment="1">
      <alignment horizontal="center" vertical="center" wrapText="1"/>
    </xf>
    <xf numFmtId="0" fontId="20" fillId="0" borderId="0" xfId="0" applyFont="1" applyAlignment="1">
      <alignment vertical="center" wrapText="1"/>
    </xf>
    <xf numFmtId="0" fontId="26" fillId="0" borderId="0" xfId="0" applyFont="1"/>
    <xf numFmtId="179" fontId="1" fillId="17" borderId="4" xfId="0" applyNumberFormat="1" applyFont="1" applyFill="1" applyBorder="1" applyAlignment="1">
      <alignment vertical="center"/>
    </xf>
    <xf numFmtId="0" fontId="4" fillId="16" borderId="4" xfId="0" applyFont="1" applyFill="1" applyBorder="1" applyAlignment="1">
      <alignment horizontal="center" vertical="center" wrapText="1"/>
    </xf>
    <xf numFmtId="0" fontId="0" fillId="15" borderId="4" xfId="0" applyFill="1" applyBorder="1" applyAlignment="1">
      <alignment vertical="center"/>
    </xf>
    <xf numFmtId="0" fontId="25" fillId="16" borderId="4" xfId="0" applyFont="1" applyFill="1" applyBorder="1" applyAlignment="1">
      <alignment horizontal="center" vertical="center" wrapText="1"/>
    </xf>
    <xf numFmtId="0" fontId="1" fillId="17" borderId="4" xfId="0" applyFont="1" applyFill="1" applyBorder="1" applyAlignment="1">
      <alignment horizontal="left" vertical="center"/>
    </xf>
    <xf numFmtId="49" fontId="1" fillId="17" borderId="4" xfId="0" applyNumberFormat="1" applyFont="1" applyFill="1" applyBorder="1" applyAlignment="1">
      <alignment horizontal="left" vertical="center"/>
    </xf>
    <xf numFmtId="0" fontId="1" fillId="15" borderId="4" xfId="1" applyFont="1" applyFill="1" applyBorder="1" applyAlignment="1">
      <alignment vertical="center"/>
    </xf>
    <xf numFmtId="0" fontId="1" fillId="17" borderId="4" xfId="1" applyFont="1" applyFill="1" applyBorder="1" applyAlignment="1">
      <alignment horizontal="right" vertical="center"/>
    </xf>
    <xf numFmtId="0" fontId="21" fillId="16" borderId="4" xfId="0" applyFont="1" applyFill="1" applyBorder="1" applyAlignment="1">
      <alignment horizontal="center" vertical="center" wrapText="1"/>
    </xf>
    <xf numFmtId="0" fontId="13" fillId="17" borderId="4" xfId="0" applyFont="1" applyFill="1" applyBorder="1" applyAlignment="1">
      <alignment vertical="center"/>
    </xf>
    <xf numFmtId="179" fontId="13" fillId="17" borderId="4" xfId="0" applyNumberFormat="1" applyFont="1" applyFill="1" applyBorder="1" applyAlignment="1">
      <alignment vertical="center"/>
    </xf>
    <xf numFmtId="2" fontId="13" fillId="17" borderId="4" xfId="0" applyNumberFormat="1" applyFont="1" applyFill="1" applyBorder="1" applyAlignment="1">
      <alignment vertical="center"/>
    </xf>
    <xf numFmtId="2" fontId="13" fillId="17" borderId="4" xfId="0" applyNumberFormat="1" applyFont="1" applyFill="1" applyBorder="1" applyAlignment="1">
      <alignment horizontal="right" vertical="center"/>
    </xf>
    <xf numFmtId="2" fontId="11" fillId="17" borderId="4" xfId="0" applyNumberFormat="1" applyFont="1" applyFill="1" applyBorder="1" applyAlignment="1">
      <alignment horizontal="center" vertical="center" wrapText="1"/>
    </xf>
    <xf numFmtId="2" fontId="0" fillId="17" borderId="4" xfId="0" applyNumberFormat="1" applyFill="1" applyBorder="1" applyAlignment="1">
      <alignment vertical="center"/>
    </xf>
    <xf numFmtId="176" fontId="0" fillId="17" borderId="4" xfId="0" applyNumberFormat="1" applyFill="1" applyBorder="1" applyAlignment="1">
      <alignment vertical="center"/>
    </xf>
    <xf numFmtId="49" fontId="0" fillId="17" borderId="4" xfId="0" applyNumberFormat="1" applyFill="1" applyBorder="1" applyAlignment="1">
      <alignment horizontal="center" vertical="center"/>
    </xf>
    <xf numFmtId="49" fontId="18" fillId="17" borderId="4" xfId="0" applyNumberFormat="1" applyFont="1" applyFill="1" applyBorder="1" applyAlignment="1">
      <alignment horizontal="center" vertical="center"/>
    </xf>
    <xf numFmtId="0" fontId="21" fillId="16" borderId="0" xfId="0" applyFont="1" applyFill="1" applyAlignment="1">
      <alignment wrapText="1"/>
    </xf>
    <xf numFmtId="0" fontId="26" fillId="18" borderId="0" xfId="0" applyFont="1" applyFill="1" applyAlignment="1">
      <alignment vertical="center" wrapText="1"/>
    </xf>
    <xf numFmtId="0" fontId="25" fillId="16" borderId="4" xfId="0" applyFont="1" applyFill="1" applyBorder="1" applyAlignment="1">
      <alignment horizontal="center" wrapText="1"/>
    </xf>
    <xf numFmtId="0" fontId="25" fillId="16" borderId="9"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12" xfId="0" applyFont="1" applyFill="1" applyBorder="1" applyAlignment="1">
      <alignment horizontal="center" vertical="center"/>
    </xf>
    <xf numFmtId="0" fontId="0" fillId="17" borderId="10" xfId="0" applyFill="1" applyBorder="1" applyAlignment="1">
      <alignment vertical="center"/>
    </xf>
    <xf numFmtId="0" fontId="0" fillId="17" borderId="4" xfId="0" applyFill="1" applyBorder="1" applyAlignment="1">
      <alignment horizontal="left" vertical="center"/>
    </xf>
    <xf numFmtId="0" fontId="0" fillId="17" borderId="11" xfId="0" applyFill="1" applyBorder="1" applyAlignment="1">
      <alignment vertical="center"/>
    </xf>
    <xf numFmtId="0" fontId="0" fillId="17" borderId="6" xfId="0" applyFill="1" applyBorder="1" applyAlignment="1">
      <alignment horizontal="left" vertical="center"/>
    </xf>
    <xf numFmtId="176" fontId="0" fillId="17" borderId="6" xfId="0" applyNumberFormat="1" applyFill="1" applyBorder="1" applyAlignment="1">
      <alignment vertical="center"/>
    </xf>
    <xf numFmtId="1" fontId="0" fillId="17" borderId="4" xfId="0" applyNumberFormat="1" applyFill="1" applyBorder="1" applyAlignment="1">
      <alignment horizontal="center" vertical="center"/>
    </xf>
    <xf numFmtId="0" fontId="27" fillId="16" borderId="4" xfId="0" applyFont="1" applyFill="1" applyBorder="1" applyAlignment="1">
      <alignment horizontal="center" vertical="center" wrapText="1"/>
    </xf>
    <xf numFmtId="0" fontId="26" fillId="0" borderId="0" xfId="1" applyFont="1" applyAlignment="1">
      <alignment vertical="center"/>
    </xf>
    <xf numFmtId="0" fontId="26" fillId="0" borderId="0" xfId="1" applyFont="1" applyAlignment="1">
      <alignment vertical="center" wrapText="1"/>
    </xf>
    <xf numFmtId="4" fontId="26" fillId="0" borderId="0" xfId="1" applyNumberFormat="1" applyFont="1" applyAlignment="1">
      <alignment vertical="center"/>
    </xf>
    <xf numFmtId="0" fontId="4" fillId="13" borderId="0" xfId="1" applyFont="1" applyFill="1" applyAlignment="1">
      <alignment vertical="center" wrapText="1"/>
    </xf>
    <xf numFmtId="0" fontId="28" fillId="0" borderId="0" xfId="1" applyFont="1" applyAlignment="1">
      <alignment vertical="center"/>
    </xf>
    <xf numFmtId="4" fontId="26" fillId="15" borderId="0" xfId="1" applyNumberFormat="1" applyFont="1" applyFill="1" applyAlignment="1">
      <alignment vertical="center"/>
    </xf>
    <xf numFmtId="4" fontId="26" fillId="15" borderId="0" xfId="1" applyNumberFormat="1" applyFont="1" applyFill="1" applyAlignment="1">
      <alignment vertical="center" wrapText="1"/>
    </xf>
    <xf numFmtId="0" fontId="26" fillId="0" borderId="0" xfId="1" applyFont="1"/>
    <xf numFmtId="0" fontId="26" fillId="19" borderId="2" xfId="1" applyFont="1" applyFill="1" applyBorder="1"/>
    <xf numFmtId="0" fontId="26" fillId="0" borderId="2" xfId="1" applyFont="1" applyBorder="1"/>
    <xf numFmtId="2" fontId="26" fillId="0" borderId="2" xfId="1" applyNumberFormat="1" applyFont="1" applyBorder="1"/>
    <xf numFmtId="0" fontId="26" fillId="0" borderId="0" xfId="1" applyFont="1" applyAlignment="1">
      <alignment wrapText="1"/>
    </xf>
    <xf numFmtId="0" fontId="33" fillId="0" borderId="0" xfId="2" applyFont="1" applyAlignment="1">
      <alignment vertical="center" wrapText="1"/>
    </xf>
    <xf numFmtId="0" fontId="35" fillId="20" borderId="0" xfId="1" applyFont="1" applyFill="1" applyAlignment="1">
      <alignment vertical="center"/>
    </xf>
    <xf numFmtId="0" fontId="26" fillId="20" borderId="0" xfId="1" applyFont="1" applyFill="1" applyAlignment="1">
      <alignment vertical="center"/>
    </xf>
    <xf numFmtId="4" fontId="26" fillId="20" borderId="0" xfId="1" applyNumberFormat="1" applyFont="1" applyFill="1" applyAlignment="1">
      <alignment vertical="center"/>
    </xf>
    <xf numFmtId="0" fontId="26" fillId="20" borderId="0" xfId="1" applyFont="1" applyFill="1" applyAlignment="1">
      <alignment vertical="center" wrapText="1"/>
    </xf>
    <xf numFmtId="0" fontId="34" fillId="20" borderId="0" xfId="1" applyFont="1" applyFill="1" applyAlignment="1">
      <alignment vertical="center"/>
    </xf>
    <xf numFmtId="0" fontId="26" fillId="0" borderId="0" xfId="0" applyFont="1" applyAlignment="1">
      <alignment vertical="center"/>
    </xf>
    <xf numFmtId="0" fontId="21" fillId="16" borderId="0" xfId="0" applyFont="1" applyFill="1" applyAlignment="1">
      <alignment vertical="center"/>
    </xf>
    <xf numFmtId="0" fontId="37" fillId="0" borderId="14" xfId="3" applyFont="1" applyBorder="1"/>
    <xf numFmtId="0" fontId="37" fillId="0" borderId="15" xfId="3" applyFont="1" applyBorder="1"/>
    <xf numFmtId="0" fontId="37" fillId="0" borderId="16" xfId="3" applyFont="1" applyBorder="1"/>
    <xf numFmtId="0" fontId="37" fillId="0" borderId="0" xfId="3" applyFont="1"/>
    <xf numFmtId="0" fontId="39" fillId="0" borderId="0" xfId="3" applyFont="1"/>
    <xf numFmtId="0" fontId="39" fillId="0" borderId="14" xfId="3" applyFont="1" applyBorder="1"/>
    <xf numFmtId="0" fontId="37" fillId="0" borderId="17" xfId="3" applyFont="1" applyBorder="1"/>
    <xf numFmtId="0" fontId="39" fillId="0" borderId="18" xfId="3" applyFont="1" applyBorder="1"/>
    <xf numFmtId="0" fontId="37" fillId="0" borderId="20" xfId="3" applyFont="1" applyBorder="1"/>
    <xf numFmtId="0" fontId="38" fillId="0" borderId="0" xfId="3" applyFont="1"/>
    <xf numFmtId="0" fontId="39" fillId="0" borderId="0" xfId="3" applyFont="1" applyAlignment="1">
      <alignment horizontal="right"/>
    </xf>
    <xf numFmtId="0" fontId="37" fillId="0" borderId="21" xfId="3" applyFont="1" applyBorder="1"/>
    <xf numFmtId="0" fontId="39" fillId="0" borderId="19" xfId="3" applyFont="1" applyBorder="1"/>
    <xf numFmtId="0" fontId="42" fillId="0" borderId="0" xfId="3" applyFont="1" applyAlignment="1">
      <alignment horizontal="center"/>
    </xf>
    <xf numFmtId="184" fontId="39" fillId="0" borderId="0" xfId="3" applyNumberFormat="1" applyFont="1"/>
    <xf numFmtId="0" fontId="43" fillId="0" borderId="0" xfId="3" applyFont="1"/>
    <xf numFmtId="180" fontId="43" fillId="0" borderId="0" xfId="3" applyNumberFormat="1" applyFont="1"/>
    <xf numFmtId="0" fontId="43" fillId="0" borderId="0" xfId="3" applyFont="1" applyAlignment="1">
      <alignment vertical="center" wrapText="1"/>
    </xf>
    <xf numFmtId="0" fontId="0" fillId="0" borderId="0" xfId="0" quotePrefix="1"/>
    <xf numFmtId="179" fontId="0" fillId="0" borderId="0" xfId="0" quotePrefix="1" applyNumberFormat="1"/>
    <xf numFmtId="0" fontId="47" fillId="0" borderId="0" xfId="4" applyFont="1" applyAlignment="1">
      <alignment horizontal="center"/>
    </xf>
    <xf numFmtId="0" fontId="47" fillId="0" borderId="0" xfId="4" applyFont="1"/>
    <xf numFmtId="0" fontId="35" fillId="0" borderId="0" xfId="1" applyFont="1"/>
    <xf numFmtId="0" fontId="21" fillId="13" borderId="0" xfId="1" applyFont="1" applyFill="1"/>
    <xf numFmtId="204" fontId="21" fillId="13" borderId="0" xfId="1" applyNumberFormat="1" applyFont="1" applyFill="1"/>
    <xf numFmtId="0" fontId="3" fillId="0" borderId="0" xfId="0" applyFont="1" applyAlignment="1">
      <alignment wrapText="1"/>
    </xf>
    <xf numFmtId="0" fontId="5" fillId="5" borderId="0" xfId="0" applyFont="1" applyFill="1"/>
    <xf numFmtId="0" fontId="4" fillId="6" borderId="0" xfId="0" applyFont="1" applyFill="1" applyAlignment="1">
      <alignment horizontal="center" wrapText="1"/>
    </xf>
    <xf numFmtId="0" fontId="11" fillId="15" borderId="0" xfId="0" applyFont="1" applyFill="1" applyAlignment="1">
      <alignment horizontal="center" vertical="center"/>
    </xf>
    <xf numFmtId="0" fontId="45" fillId="0" borderId="0" xfId="3" applyFont="1" applyAlignment="1">
      <alignment vertical="center" wrapText="1"/>
    </xf>
    <xf numFmtId="0" fontId="51" fillId="0" borderId="0" xfId="3" applyFont="1" applyAlignment="1">
      <alignment vertical="center" wrapText="1"/>
    </xf>
    <xf numFmtId="0" fontId="54" fillId="0" borderId="0" xfId="3" applyFont="1"/>
    <xf numFmtId="0" fontId="24" fillId="18" borderId="0" xfId="0" applyFont="1" applyFill="1"/>
    <xf numFmtId="0" fontId="26" fillId="18" borderId="0" xfId="0" applyFont="1" applyFill="1"/>
    <xf numFmtId="0" fontId="21" fillId="22" borderId="24" xfId="0" applyFont="1" applyFill="1" applyBorder="1" applyAlignment="1">
      <alignment vertical="center" wrapText="1"/>
    </xf>
    <xf numFmtId="0" fontId="24" fillId="18" borderId="0" xfId="0" applyFont="1" applyFill="1" applyAlignment="1">
      <alignment vertical="center" wrapText="1"/>
    </xf>
    <xf numFmtId="0" fontId="24" fillId="18" borderId="26" xfId="0" applyFont="1" applyFill="1" applyBorder="1" applyAlignment="1">
      <alignment vertical="center" wrapText="1"/>
    </xf>
    <xf numFmtId="0" fontId="55" fillId="18" borderId="0" xfId="0" applyFont="1" applyFill="1" applyAlignment="1">
      <alignment vertical="center"/>
    </xf>
    <xf numFmtId="0" fontId="4" fillId="22" borderId="24" xfId="0" applyFont="1" applyFill="1" applyBorder="1" applyAlignment="1">
      <alignment vertical="center" wrapText="1"/>
    </xf>
    <xf numFmtId="0" fontId="20" fillId="17" borderId="24" xfId="0" applyFont="1" applyFill="1" applyBorder="1" applyAlignment="1">
      <alignment vertical="center"/>
    </xf>
    <xf numFmtId="2" fontId="20" fillId="17" borderId="24" xfId="0" applyNumberFormat="1" applyFont="1" applyFill="1" applyBorder="1" applyAlignment="1">
      <alignment vertical="center"/>
    </xf>
    <xf numFmtId="1" fontId="20" fillId="17" borderId="24" xfId="0" applyNumberFormat="1" applyFont="1" applyFill="1" applyBorder="1" applyAlignment="1">
      <alignment vertical="center"/>
    </xf>
    <xf numFmtId="1" fontId="4" fillId="22" borderId="24" xfId="0" applyNumberFormat="1" applyFont="1" applyFill="1" applyBorder="1" applyAlignment="1">
      <alignment vertical="center" wrapText="1"/>
    </xf>
    <xf numFmtId="0" fontId="28" fillId="0" borderId="0" xfId="0" applyFont="1"/>
    <xf numFmtId="0" fontId="20" fillId="18" borderId="0" xfId="3" applyFont="1" applyFill="1" applyAlignment="1">
      <alignment horizontal="left" vertical="center"/>
    </xf>
    <xf numFmtId="0" fontId="20" fillId="18" borderId="0" xfId="3" applyFont="1" applyFill="1" applyAlignment="1">
      <alignment horizontal="center" vertical="center"/>
    </xf>
    <xf numFmtId="0" fontId="20" fillId="18" borderId="0" xfId="3" applyFont="1" applyFill="1" applyAlignment="1">
      <alignment horizontal="right" vertical="center"/>
    </xf>
    <xf numFmtId="187" fontId="20" fillId="18" borderId="0" xfId="3" applyNumberFormat="1" applyFont="1" applyFill="1" applyAlignment="1">
      <alignment horizontal="left" vertical="center"/>
    </xf>
    <xf numFmtId="2" fontId="20" fillId="18" borderId="0" xfId="3" applyNumberFormat="1" applyFont="1" applyFill="1" applyAlignment="1">
      <alignment horizontal="right" vertical="center"/>
    </xf>
    <xf numFmtId="0" fontId="20" fillId="18" borderId="0" xfId="3" applyFont="1" applyFill="1" applyAlignment="1">
      <alignment vertical="center"/>
    </xf>
    <xf numFmtId="0" fontId="20" fillId="18" borderId="20" xfId="3" applyFont="1" applyFill="1" applyBorder="1" applyAlignment="1">
      <alignment vertical="center"/>
    </xf>
    <xf numFmtId="186" fontId="20" fillId="18" borderId="0" xfId="3" applyNumberFormat="1" applyFont="1" applyFill="1" applyAlignment="1">
      <alignment horizontal="center" vertical="center"/>
    </xf>
    <xf numFmtId="183" fontId="20" fillId="18" borderId="0" xfId="3" applyNumberFormat="1" applyFont="1" applyFill="1" applyAlignment="1">
      <alignment horizontal="left" vertical="center"/>
    </xf>
    <xf numFmtId="0" fontId="20" fillId="18" borderId="0" xfId="3" quotePrefix="1" applyFont="1" applyFill="1" applyAlignment="1">
      <alignment horizontal="left" vertical="center"/>
    </xf>
    <xf numFmtId="183" fontId="20" fillId="18" borderId="0" xfId="3" applyNumberFormat="1" applyFont="1" applyFill="1" applyAlignment="1">
      <alignment vertical="center"/>
    </xf>
    <xf numFmtId="1" fontId="20" fillId="18" borderId="0" xfId="3" applyNumberFormat="1" applyFont="1" applyFill="1" applyAlignment="1">
      <alignment vertical="center"/>
    </xf>
    <xf numFmtId="0" fontId="63" fillId="18" borderId="0" xfId="3" applyFont="1" applyFill="1" applyAlignment="1">
      <alignment horizontal="left" vertical="center"/>
    </xf>
    <xf numFmtId="0" fontId="64" fillId="18" borderId="0" xfId="3" applyFont="1" applyFill="1" applyAlignment="1">
      <alignment horizontal="left" vertical="center"/>
    </xf>
    <xf numFmtId="0" fontId="64" fillId="18" borderId="0" xfId="3" applyFont="1" applyFill="1" applyAlignment="1">
      <alignment vertical="center"/>
    </xf>
    <xf numFmtId="2" fontId="20" fillId="18" borderId="0" xfId="3" applyNumberFormat="1" applyFont="1" applyFill="1" applyAlignment="1">
      <alignment vertical="center"/>
    </xf>
    <xf numFmtId="188" fontId="20" fillId="18" borderId="0" xfId="3" applyNumberFormat="1" applyFont="1" applyFill="1" applyAlignment="1">
      <alignment horizontal="left" vertical="center"/>
    </xf>
    <xf numFmtId="0" fontId="65" fillId="18" borderId="0" xfId="3" applyFont="1" applyFill="1" applyAlignment="1">
      <alignment vertical="center"/>
    </xf>
    <xf numFmtId="176" fontId="20" fillId="18" borderId="0" xfId="3" applyNumberFormat="1" applyFont="1" applyFill="1" applyAlignment="1">
      <alignment vertical="center"/>
    </xf>
    <xf numFmtId="0" fontId="61" fillId="18" borderId="0" xfId="3" applyFont="1" applyFill="1" applyAlignment="1">
      <alignment horizontal="center" vertical="center"/>
    </xf>
    <xf numFmtId="179" fontId="20" fillId="18" borderId="0" xfId="3" applyNumberFormat="1" applyFont="1" applyFill="1" applyAlignment="1">
      <alignment horizontal="right" vertical="center"/>
    </xf>
    <xf numFmtId="0" fontId="52" fillId="18" borderId="0" xfId="3" applyFont="1" applyFill="1" applyAlignment="1">
      <alignment vertical="center"/>
    </xf>
    <xf numFmtId="0" fontId="58" fillId="24" borderId="0" xfId="0" applyFont="1" applyFill="1" applyAlignment="1">
      <alignment vertical="center" wrapText="1"/>
    </xf>
    <xf numFmtId="1" fontId="20" fillId="17" borderId="0" xfId="3" applyNumberFormat="1" applyFont="1" applyFill="1" applyAlignment="1">
      <alignment horizontal="left" vertical="center"/>
    </xf>
    <xf numFmtId="0" fontId="28" fillId="18" borderId="0" xfId="3" applyFill="1"/>
    <xf numFmtId="0" fontId="32" fillId="18" borderId="0" xfId="3" applyFont="1" applyFill="1"/>
    <xf numFmtId="0" fontId="28" fillId="18" borderId="0" xfId="3" applyFill="1" applyAlignment="1">
      <alignment vertical="center" wrapText="1"/>
    </xf>
    <xf numFmtId="0" fontId="28" fillId="0" borderId="0" xfId="0" applyFont="1" applyAlignment="1">
      <alignment vertical="center" wrapText="1"/>
    </xf>
    <xf numFmtId="0" fontId="63" fillId="18" borderId="0" xfId="3" applyFont="1" applyFill="1" applyAlignment="1">
      <alignment horizontal="right" vertical="center"/>
    </xf>
    <xf numFmtId="0" fontId="28" fillId="0" borderId="0" xfId="0" applyFont="1" applyAlignment="1">
      <alignment vertical="center"/>
    </xf>
    <xf numFmtId="0" fontId="21" fillId="26" borderId="0" xfId="3" applyFont="1" applyFill="1" applyAlignment="1">
      <alignment vertical="center"/>
    </xf>
    <xf numFmtId="0" fontId="21" fillId="26" borderId="0" xfId="3" applyFont="1" applyFill="1" applyAlignment="1">
      <alignment horizontal="center" vertical="center"/>
    </xf>
    <xf numFmtId="0" fontId="21" fillId="26" borderId="0" xfId="3" applyFont="1" applyFill="1" applyAlignment="1">
      <alignment horizontal="right" vertical="center"/>
    </xf>
    <xf numFmtId="0" fontId="69" fillId="26" borderId="0" xfId="3" applyFont="1" applyFill="1" applyAlignment="1">
      <alignment horizontal="right" vertical="center"/>
    </xf>
    <xf numFmtId="179" fontId="20" fillId="18" borderId="0" xfId="3" applyNumberFormat="1" applyFont="1" applyFill="1" applyAlignment="1">
      <alignment vertical="center"/>
    </xf>
    <xf numFmtId="0" fontId="71" fillId="26" borderId="0" xfId="3" applyFont="1" applyFill="1" applyAlignment="1">
      <alignment vertical="center"/>
    </xf>
    <xf numFmtId="0" fontId="68" fillId="18" borderId="0" xfId="0" applyFont="1" applyFill="1" applyAlignment="1">
      <alignment vertical="center"/>
    </xf>
    <xf numFmtId="0" fontId="28" fillId="18" borderId="0" xfId="0" applyFont="1" applyFill="1" applyAlignment="1">
      <alignment vertical="center" wrapText="1"/>
    </xf>
    <xf numFmtId="0" fontId="32" fillId="17" borderId="0" xfId="0" applyFont="1" applyFill="1" applyAlignment="1">
      <alignment horizontal="center"/>
    </xf>
    <xf numFmtId="0" fontId="28" fillId="18" borderId="0" xfId="0" applyFont="1" applyFill="1"/>
    <xf numFmtId="181" fontId="52" fillId="17" borderId="0" xfId="0" applyNumberFormat="1" applyFont="1" applyFill="1" applyAlignment="1">
      <alignment horizontal="center"/>
    </xf>
    <xf numFmtId="1" fontId="52" fillId="17" borderId="0" xfId="0" applyNumberFormat="1" applyFont="1" applyFill="1" applyAlignment="1">
      <alignment horizontal="center"/>
    </xf>
    <xf numFmtId="0" fontId="20" fillId="18" borderId="0" xfId="0" applyFont="1" applyFill="1" applyAlignment="1">
      <alignment horizontal="right" vertical="center" wrapText="1"/>
    </xf>
    <xf numFmtId="0" fontId="20" fillId="18" borderId="0" xfId="0" applyFont="1" applyFill="1" applyAlignment="1">
      <alignment vertical="center" wrapText="1"/>
    </xf>
    <xf numFmtId="0" fontId="20" fillId="18" borderId="0" xfId="0" applyFont="1" applyFill="1"/>
    <xf numFmtId="0" fontId="20" fillId="18" borderId="26" xfId="0" applyFont="1" applyFill="1" applyBorder="1" applyAlignment="1">
      <alignment vertical="center" wrapText="1"/>
    </xf>
    <xf numFmtId="0" fontId="20" fillId="18" borderId="0" xfId="0" applyFont="1" applyFill="1" applyAlignment="1">
      <alignment vertical="center"/>
    </xf>
    <xf numFmtId="0" fontId="20" fillId="0" borderId="0" xfId="4" applyFont="1" applyAlignment="1">
      <alignment horizontal="center" vertical="center"/>
    </xf>
    <xf numFmtId="0" fontId="20" fillId="0" borderId="23" xfId="4" applyFont="1" applyBorder="1" applyAlignment="1">
      <alignment horizontal="center" vertical="center"/>
    </xf>
    <xf numFmtId="179" fontId="20" fillId="0" borderId="0" xfId="4" applyNumberFormat="1" applyFont="1" applyAlignment="1">
      <alignment horizontal="center" vertical="center"/>
    </xf>
    <xf numFmtId="0" fontId="52" fillId="0" borderId="0" xfId="4" applyFont="1" applyAlignment="1">
      <alignment horizontal="center" vertical="center"/>
    </xf>
    <xf numFmtId="0" fontId="20" fillId="0" borderId="0" xfId="4" applyFont="1" applyAlignment="1">
      <alignment vertical="center"/>
    </xf>
    <xf numFmtId="0" fontId="20" fillId="0" borderId="0" xfId="0" applyFont="1" applyAlignment="1">
      <alignment vertical="center"/>
    </xf>
    <xf numFmtId="0" fontId="52" fillId="0" borderId="0" xfId="4" applyFont="1" applyAlignment="1">
      <alignment horizontal="left" vertical="center"/>
    </xf>
    <xf numFmtId="200" fontId="20" fillId="0" borderId="0" xfId="4" applyNumberFormat="1" applyFont="1" applyAlignment="1">
      <alignment horizontal="center" vertical="center"/>
    </xf>
    <xf numFmtId="0" fontId="20" fillId="0" borderId="0" xfId="4" applyFont="1" applyAlignment="1">
      <alignment horizontal="left" vertical="center"/>
    </xf>
    <xf numFmtId="201" fontId="52" fillId="0" borderId="0" xfId="4" applyNumberFormat="1" applyFont="1" applyAlignment="1">
      <alignment vertical="center"/>
    </xf>
    <xf numFmtId="0" fontId="20" fillId="0" borderId="0" xfId="1" applyFont="1" applyAlignment="1">
      <alignment vertical="center"/>
    </xf>
    <xf numFmtId="0" fontId="21" fillId="26" borderId="0" xfId="4" applyFont="1" applyFill="1" applyAlignment="1">
      <alignment horizontal="left" vertical="center"/>
    </xf>
    <xf numFmtId="0" fontId="21" fillId="26" borderId="0" xfId="4" applyFont="1" applyFill="1" applyAlignment="1">
      <alignment vertical="center"/>
    </xf>
    <xf numFmtId="0" fontId="21" fillId="26" borderId="0" xfId="4" applyFont="1" applyFill="1" applyAlignment="1">
      <alignment horizontal="center" vertical="center"/>
    </xf>
    <xf numFmtId="0" fontId="4" fillId="16" borderId="0" xfId="0" applyFont="1" applyFill="1" applyAlignment="1">
      <alignment vertical="center"/>
    </xf>
    <xf numFmtId="1" fontId="28" fillId="0" borderId="0" xfId="0" applyNumberFormat="1" applyFont="1" applyAlignment="1">
      <alignment vertical="center"/>
    </xf>
    <xf numFmtId="2" fontId="20" fillId="0" borderId="0" xfId="4" applyNumberFormat="1" applyFont="1" applyAlignment="1">
      <alignment vertical="center"/>
    </xf>
    <xf numFmtId="0" fontId="20" fillId="18" borderId="0" xfId="4" applyFont="1" applyFill="1" applyAlignment="1">
      <alignment horizontal="center" vertical="center"/>
    </xf>
    <xf numFmtId="0" fontId="20" fillId="18" borderId="0" xfId="4" applyFont="1" applyFill="1" applyAlignment="1">
      <alignment vertical="center"/>
    </xf>
    <xf numFmtId="0" fontId="0" fillId="0" borderId="0" xfId="0" applyAlignment="1">
      <alignment wrapText="1"/>
    </xf>
    <xf numFmtId="0" fontId="30" fillId="0" borderId="0" xfId="3" applyFont="1" applyAlignment="1">
      <alignment vertical="center" wrapText="1"/>
    </xf>
    <xf numFmtId="0" fontId="30" fillId="18" borderId="0" xfId="3" applyFont="1" applyFill="1" applyAlignment="1">
      <alignment vertical="center" wrapText="1"/>
    </xf>
    <xf numFmtId="1" fontId="1" fillId="17" borderId="4" xfId="0" applyNumberFormat="1" applyFont="1" applyFill="1" applyBorder="1" applyAlignment="1">
      <alignment vertical="center"/>
    </xf>
    <xf numFmtId="1" fontId="13" fillId="17" borderId="4" xfId="0" applyNumberFormat="1" applyFont="1" applyFill="1" applyBorder="1" applyAlignment="1">
      <alignment vertical="center"/>
    </xf>
    <xf numFmtId="0" fontId="82" fillId="30" borderId="0" xfId="0" applyFont="1" applyFill="1" applyAlignment="1">
      <alignment horizontal="center" vertical="center" wrapText="1"/>
    </xf>
    <xf numFmtId="0" fontId="85" fillId="0" borderId="0" xfId="0" applyFont="1"/>
    <xf numFmtId="0" fontId="86" fillId="0" borderId="0" xfId="0" applyFont="1"/>
    <xf numFmtId="207" fontId="78" fillId="30" borderId="30" xfId="0" applyNumberFormat="1" applyFont="1" applyFill="1" applyBorder="1" applyAlignment="1">
      <alignment horizontal="center" vertical="center" wrapText="1"/>
    </xf>
    <xf numFmtId="1" fontId="20" fillId="0" borderId="0" xfId="4" applyNumberFormat="1" applyFont="1" applyAlignment="1">
      <alignment horizontal="center" vertical="center"/>
    </xf>
    <xf numFmtId="2" fontId="20" fillId="0" borderId="0" xfId="4" applyNumberFormat="1" applyFont="1" applyAlignment="1">
      <alignment horizontal="center" vertical="center"/>
    </xf>
    <xf numFmtId="179" fontId="20" fillId="0" borderId="0" xfId="1" applyNumberFormat="1" applyFont="1" applyAlignment="1">
      <alignment vertical="center"/>
    </xf>
    <xf numFmtId="2" fontId="20" fillId="0" borderId="24" xfId="0" applyNumberFormat="1" applyFont="1" applyBorder="1" applyAlignment="1">
      <alignment vertical="center" wrapText="1"/>
    </xf>
    <xf numFmtId="180" fontId="68" fillId="0" borderId="0" xfId="0" applyNumberFormat="1" applyFont="1" applyAlignment="1">
      <alignment vertical="center"/>
    </xf>
    <xf numFmtId="2" fontId="20" fillId="0" borderId="24" xfId="0" applyNumberFormat="1" applyFont="1" applyBorder="1" applyAlignment="1">
      <alignment vertical="center"/>
    </xf>
    <xf numFmtId="0" fontId="57" fillId="0" borderId="0" xfId="0" applyFont="1"/>
    <xf numFmtId="1" fontId="20" fillId="0" borderId="24" xfId="0" applyNumberFormat="1" applyFont="1" applyBorder="1" applyAlignment="1">
      <alignment vertical="center"/>
    </xf>
    <xf numFmtId="180" fontId="4" fillId="0" borderId="0" xfId="0" applyNumberFormat="1" applyFont="1" applyAlignment="1">
      <alignment vertical="center" wrapText="1"/>
    </xf>
    <xf numFmtId="0" fontId="61" fillId="0" borderId="0" xfId="0" applyFont="1" applyAlignment="1">
      <alignment vertical="center"/>
    </xf>
    <xf numFmtId="2" fontId="24" fillId="0" borderId="24" xfId="0" applyNumberFormat="1" applyFont="1" applyBorder="1" applyAlignment="1">
      <alignment vertical="center"/>
    </xf>
    <xf numFmtId="181" fontId="24" fillId="0" borderId="24" xfId="0" applyNumberFormat="1" applyFont="1" applyBorder="1" applyAlignment="1">
      <alignment vertical="center"/>
    </xf>
    <xf numFmtId="0" fontId="20" fillId="32" borderId="24" xfId="0" applyFont="1" applyFill="1" applyBorder="1" applyAlignment="1">
      <alignment vertical="center"/>
    </xf>
    <xf numFmtId="2" fontId="20" fillId="32" borderId="24" xfId="0" applyNumberFormat="1" applyFont="1" applyFill="1" applyBorder="1" applyAlignment="1">
      <alignment vertical="center"/>
    </xf>
    <xf numFmtId="0" fontId="6" fillId="0" borderId="4" xfId="0" applyFont="1" applyBorder="1" applyAlignment="1">
      <alignment vertical="center"/>
    </xf>
    <xf numFmtId="0" fontId="11" fillId="0" borderId="4" xfId="0" applyFont="1" applyBorder="1" applyAlignment="1">
      <alignment horizontal="center" vertical="center"/>
    </xf>
    <xf numFmtId="0" fontId="0" fillId="0" borderId="4" xfId="0" applyBorder="1" applyAlignment="1">
      <alignment vertical="center"/>
    </xf>
    <xf numFmtId="3" fontId="6" fillId="0" borderId="4" xfId="0" applyNumberFormat="1" applyFont="1" applyBorder="1" applyAlignment="1">
      <alignment horizontal="right" vertical="center"/>
    </xf>
    <xf numFmtId="3" fontId="1" fillId="0" borderId="4" xfId="1" applyNumberFormat="1" applyFont="1" applyBorder="1" applyAlignment="1">
      <alignment vertical="center" wrapText="1"/>
    </xf>
    <xf numFmtId="0" fontId="6" fillId="0" borderId="1" xfId="0" applyFont="1" applyBorder="1"/>
    <xf numFmtId="3" fontId="6" fillId="0" borderId="1" xfId="0" applyNumberFormat="1" applyFont="1" applyBorder="1" applyAlignment="1">
      <alignment horizontal="right"/>
    </xf>
    <xf numFmtId="178" fontId="6" fillId="0" borderId="1" xfId="0" applyNumberFormat="1" applyFont="1" applyBorder="1" applyAlignment="1">
      <alignment horizontal="right"/>
    </xf>
    <xf numFmtId="0" fontId="8" fillId="0" borderId="1" xfId="0" applyFont="1" applyBorder="1" applyAlignment="1">
      <alignment horizontal="right"/>
    </xf>
    <xf numFmtId="0" fontId="6" fillId="0" borderId="4" xfId="1" applyFont="1" applyBorder="1" applyAlignment="1">
      <alignment vertical="center"/>
    </xf>
    <xf numFmtId="0" fontId="6" fillId="0" borderId="4" xfId="0" applyFont="1" applyBorder="1" applyAlignment="1">
      <alignment horizontal="left" vertical="center" wrapText="1"/>
    </xf>
    <xf numFmtId="0" fontId="1" fillId="0" borderId="4" xfId="1" applyFont="1" applyBorder="1" applyAlignment="1">
      <alignment vertical="center" wrapText="1"/>
    </xf>
    <xf numFmtId="0" fontId="7" fillId="0" borderId="1" xfId="0" applyFont="1" applyBorder="1" applyAlignment="1">
      <alignment horizontal="center"/>
    </xf>
    <xf numFmtId="1" fontId="1" fillId="32" borderId="4" xfId="0" applyNumberFormat="1" applyFont="1" applyFill="1" applyBorder="1" applyAlignment="1">
      <alignment horizontal="right" vertical="center"/>
    </xf>
    <xf numFmtId="176" fontId="1" fillId="32" borderId="4" xfId="1" applyNumberFormat="1" applyFont="1" applyFill="1" applyBorder="1" applyAlignment="1">
      <alignment horizontal="right" vertical="center"/>
    </xf>
    <xf numFmtId="2" fontId="1" fillId="32" borderId="4" xfId="1" applyNumberFormat="1" applyFont="1" applyFill="1" applyBorder="1" applyAlignment="1">
      <alignment horizontal="right" vertical="center"/>
    </xf>
    <xf numFmtId="176" fontId="0" fillId="0" borderId="4" xfId="0" applyNumberFormat="1" applyBorder="1" applyAlignment="1">
      <alignment vertical="center"/>
    </xf>
    <xf numFmtId="176" fontId="0" fillId="0" borderId="6" xfId="0" applyNumberFormat="1" applyBorder="1" applyAlignment="1">
      <alignment vertical="center"/>
    </xf>
    <xf numFmtId="0" fontId="0" fillId="0" borderId="7" xfId="0" applyBorder="1" applyAlignment="1">
      <alignment horizontal="center" vertical="center"/>
    </xf>
    <xf numFmtId="0" fontId="0" fillId="0" borderId="5" xfId="0" applyBorder="1" applyAlignment="1">
      <alignment horizontal="center" vertical="center"/>
    </xf>
    <xf numFmtId="177" fontId="26" fillId="0" borderId="4" xfId="0" applyNumberFormat="1" applyFont="1" applyBorder="1" applyAlignment="1">
      <alignment horizontal="right" vertical="center"/>
    </xf>
    <xf numFmtId="0" fontId="26" fillId="0" borderId="4" xfId="0" applyFont="1" applyBorder="1" applyAlignment="1">
      <alignment horizontal="center" vertical="center"/>
    </xf>
    <xf numFmtId="177" fontId="0" fillId="0" borderId="4" xfId="0" applyNumberFormat="1" applyBorder="1" applyAlignment="1">
      <alignment vertical="center"/>
    </xf>
    <xf numFmtId="0" fontId="26" fillId="0" borderId="4" xfId="0" applyFont="1" applyBorder="1" applyAlignment="1">
      <alignment horizontal="left" vertical="center"/>
    </xf>
    <xf numFmtId="176" fontId="0" fillId="32" borderId="4" xfId="0" applyNumberFormat="1" applyFill="1" applyBorder="1" applyAlignment="1">
      <alignment vertical="center"/>
    </xf>
    <xf numFmtId="176" fontId="0" fillId="32" borderId="6" xfId="0" applyNumberFormat="1" applyFill="1" applyBorder="1" applyAlignment="1">
      <alignment vertical="center"/>
    </xf>
    <xf numFmtId="1" fontId="0" fillId="32" borderId="4" xfId="0" applyNumberFormat="1" applyFill="1" applyBorder="1" applyAlignment="1">
      <alignment horizontal="center" vertical="center"/>
    </xf>
    <xf numFmtId="1" fontId="0" fillId="32" borderId="6" xfId="0" applyNumberFormat="1" applyFill="1" applyBorder="1" applyAlignment="1">
      <alignment horizontal="center" vertical="center"/>
    </xf>
    <xf numFmtId="177" fontId="0" fillId="32" borderId="4" xfId="0" applyNumberFormat="1" applyFill="1" applyBorder="1" applyAlignment="1">
      <alignment vertical="center"/>
    </xf>
    <xf numFmtId="4" fontId="13" fillId="0" borderId="4" xfId="0" applyNumberFormat="1" applyFont="1" applyBorder="1" applyAlignment="1">
      <alignment vertical="center"/>
    </xf>
    <xf numFmtId="4" fontId="13" fillId="0" borderId="4" xfId="0" applyNumberFormat="1" applyFont="1" applyBorder="1" applyAlignment="1">
      <alignment horizontal="right" vertical="center"/>
    </xf>
    <xf numFmtId="4" fontId="11" fillId="0" borderId="4" xfId="0" applyNumberFormat="1" applyFont="1" applyBorder="1" applyAlignment="1">
      <alignment horizontal="center" vertical="center" wrapText="1"/>
    </xf>
    <xf numFmtId="2" fontId="0" fillId="0" borderId="4" xfId="0" applyNumberFormat="1" applyBorder="1" applyAlignment="1">
      <alignment vertical="center"/>
    </xf>
    <xf numFmtId="181" fontId="0" fillId="0" borderId="4" xfId="0" applyNumberFormat="1" applyBorder="1" applyAlignment="1">
      <alignment wrapText="1"/>
    </xf>
    <xf numFmtId="0" fontId="0" fillId="0" borderId="4" xfId="0" applyBorder="1" applyAlignment="1">
      <alignment vertical="center" wrapText="1"/>
    </xf>
    <xf numFmtId="0" fontId="15" fillId="0" borderId="4" xfId="0" applyFont="1" applyBorder="1" applyAlignment="1">
      <alignment vertical="center" wrapText="1"/>
    </xf>
    <xf numFmtId="0" fontId="13" fillId="0" borderId="4" xfId="0" applyFont="1" applyBorder="1" applyAlignment="1">
      <alignment vertical="center" wrapText="1"/>
    </xf>
    <xf numFmtId="180" fontId="19" fillId="0" borderId="0" xfId="0" applyNumberFormat="1" applyFont="1"/>
    <xf numFmtId="49" fontId="0" fillId="32" borderId="4" xfId="0" applyNumberFormat="1" applyFill="1" applyBorder="1" applyAlignment="1">
      <alignment horizontal="left" vertical="center"/>
    </xf>
    <xf numFmtId="0" fontId="24" fillId="0" borderId="0" xfId="0" applyFont="1" applyAlignment="1">
      <alignment vertical="center"/>
    </xf>
    <xf numFmtId="0" fontId="20" fillId="0" borderId="0" xfId="4" applyFont="1" applyAlignment="1" applyProtection="1">
      <alignment horizontal="center" vertical="center"/>
      <protection locked="0"/>
    </xf>
    <xf numFmtId="193" fontId="20" fillId="0" borderId="0" xfId="4" applyNumberFormat="1" applyFont="1" applyAlignment="1" applyProtection="1">
      <alignment horizontal="center" vertical="center"/>
      <protection locked="0"/>
    </xf>
    <xf numFmtId="0" fontId="20" fillId="0" borderId="0" xfId="4" applyFont="1" applyAlignment="1" applyProtection="1">
      <alignment horizontal="left" vertical="center"/>
      <protection locked="0"/>
    </xf>
    <xf numFmtId="192" fontId="20" fillId="0" borderId="0" xfId="4" applyNumberFormat="1" applyFont="1" applyAlignment="1">
      <alignment horizontal="center" vertical="center"/>
    </xf>
    <xf numFmtId="191" fontId="20" fillId="0" borderId="0" xfId="4" applyNumberFormat="1" applyFont="1" applyAlignment="1">
      <alignment horizontal="center" vertical="center"/>
    </xf>
    <xf numFmtId="193" fontId="20" fillId="0" borderId="0" xfId="4" applyNumberFormat="1" applyFont="1" applyAlignment="1">
      <alignment horizontal="center" vertical="center"/>
    </xf>
    <xf numFmtId="194" fontId="20" fillId="0" borderId="0" xfId="4" applyNumberFormat="1" applyFont="1" applyAlignment="1">
      <alignment horizontal="center" vertical="center"/>
    </xf>
    <xf numFmtId="194" fontId="20" fillId="0" borderId="0" xfId="4" applyNumberFormat="1" applyFont="1" applyAlignment="1" applyProtection="1">
      <alignment horizontal="center" vertical="center"/>
      <protection locked="0"/>
    </xf>
    <xf numFmtId="195" fontId="20" fillId="0" borderId="0" xfId="4" applyNumberFormat="1" applyFont="1" applyAlignment="1">
      <alignment horizontal="center" vertical="center"/>
    </xf>
    <xf numFmtId="198" fontId="20" fillId="0" borderId="0" xfId="4" applyNumberFormat="1" applyFont="1" applyAlignment="1">
      <alignment horizontal="center" vertical="center"/>
    </xf>
    <xf numFmtId="199" fontId="20" fillId="0" borderId="0" xfId="4" applyNumberFormat="1" applyFont="1" applyAlignment="1">
      <alignment horizontal="center" vertical="center"/>
    </xf>
    <xf numFmtId="202" fontId="20" fillId="0" borderId="0" xfId="4" applyNumberFormat="1" applyFont="1" applyAlignment="1">
      <alignment vertical="center"/>
    </xf>
    <xf numFmtId="2" fontId="52" fillId="0" borderId="0" xfId="4" applyNumberFormat="1" applyFont="1" applyAlignment="1">
      <alignment horizontal="center" vertical="center"/>
    </xf>
    <xf numFmtId="203" fontId="52" fillId="0" borderId="0" xfId="4" applyNumberFormat="1" applyFont="1" applyAlignment="1">
      <alignment vertical="center"/>
    </xf>
    <xf numFmtId="191" fontId="20" fillId="0" borderId="0" xfId="4" applyNumberFormat="1" applyFont="1" applyAlignment="1">
      <alignment vertical="center"/>
    </xf>
    <xf numFmtId="1" fontId="20" fillId="0" borderId="0" xfId="1" applyNumberFormat="1" applyFont="1" applyAlignment="1">
      <alignment vertical="center"/>
    </xf>
    <xf numFmtId="176" fontId="20" fillId="0" borderId="0" xfId="1" applyNumberFormat="1" applyFont="1" applyAlignment="1">
      <alignment vertical="center"/>
    </xf>
    <xf numFmtId="192" fontId="20" fillId="32" borderId="0" xfId="4" applyNumberFormat="1" applyFont="1" applyFill="1" applyAlignment="1">
      <alignment horizontal="center" vertical="center"/>
    </xf>
    <xf numFmtId="0" fontId="20" fillId="32" borderId="0" xfId="4" applyFont="1" applyFill="1" applyAlignment="1">
      <alignment horizontal="center" vertical="center"/>
    </xf>
    <xf numFmtId="201" fontId="52" fillId="32" borderId="0" xfId="4" applyNumberFormat="1" applyFont="1" applyFill="1" applyAlignment="1">
      <alignment vertical="center"/>
    </xf>
    <xf numFmtId="0" fontId="52" fillId="32" borderId="0" xfId="4" applyFont="1" applyFill="1" applyAlignment="1">
      <alignment horizontal="center" vertical="center"/>
    </xf>
    <xf numFmtId="203" fontId="52" fillId="32" borderId="0" xfId="4" applyNumberFormat="1" applyFont="1" applyFill="1" applyAlignment="1">
      <alignment horizontal="right" vertical="center"/>
    </xf>
    <xf numFmtId="2" fontId="20" fillId="0" borderId="0" xfId="3" applyNumberFormat="1" applyFont="1" applyAlignment="1" applyProtection="1">
      <alignment horizontal="right" vertical="center"/>
      <protection locked="0"/>
    </xf>
    <xf numFmtId="1" fontId="20" fillId="0" borderId="0" xfId="3" applyNumberFormat="1" applyFont="1" applyAlignment="1" applyProtection="1">
      <alignment horizontal="right" vertical="center"/>
      <protection locked="0"/>
    </xf>
    <xf numFmtId="185" fontId="20" fillId="0" borderId="0" xfId="3" applyNumberFormat="1" applyFont="1" applyAlignment="1">
      <alignment horizontal="right" vertical="center"/>
    </xf>
    <xf numFmtId="1" fontId="20" fillId="0" borderId="0" xfId="3" applyNumberFormat="1" applyFont="1" applyAlignment="1">
      <alignment horizontal="right" vertical="center"/>
    </xf>
    <xf numFmtId="0" fontId="20" fillId="0" borderId="14" xfId="3" applyFont="1" applyBorder="1" applyAlignment="1">
      <alignment vertical="center"/>
    </xf>
    <xf numFmtId="0" fontId="20" fillId="0" borderId="15" xfId="3" applyFont="1" applyBorder="1" applyAlignment="1">
      <alignment vertical="center"/>
    </xf>
    <xf numFmtId="0" fontId="20" fillId="0" borderId="16" xfId="3" applyFont="1" applyBorder="1" applyAlignment="1">
      <alignment vertical="center"/>
    </xf>
    <xf numFmtId="0" fontId="37" fillId="0" borderId="18" xfId="3" applyFont="1" applyBorder="1"/>
    <xf numFmtId="0" fontId="37" fillId="0" borderId="0" xfId="3" applyFont="1" applyAlignment="1">
      <alignment horizontal="center"/>
    </xf>
    <xf numFmtId="0" fontId="20" fillId="0" borderId="0" xfId="3" applyFont="1" applyAlignment="1">
      <alignment vertical="center"/>
    </xf>
    <xf numFmtId="183" fontId="41" fillId="0" borderId="0" xfId="3" applyNumberFormat="1" applyFont="1" applyAlignment="1">
      <alignment horizontal="left"/>
    </xf>
    <xf numFmtId="0" fontId="41" fillId="0" borderId="0" xfId="3" applyFont="1" applyAlignment="1">
      <alignment horizontal="left"/>
    </xf>
    <xf numFmtId="0" fontId="20" fillId="0" borderId="0" xfId="3" applyFont="1" applyAlignment="1">
      <alignment horizontal="center" vertical="center"/>
    </xf>
    <xf numFmtId="0" fontId="37" fillId="0" borderId="19" xfId="3" applyFont="1" applyBorder="1"/>
    <xf numFmtId="180" fontId="42" fillId="0" borderId="0" xfId="3" applyNumberFormat="1" applyFont="1" applyAlignment="1">
      <alignment horizontal="center"/>
    </xf>
    <xf numFmtId="0" fontId="20" fillId="0" borderId="0" xfId="3" applyFont="1" applyAlignment="1">
      <alignment horizontal="right" vertical="center"/>
    </xf>
    <xf numFmtId="0" fontId="20" fillId="0" borderId="0" xfId="3" applyFont="1" applyAlignment="1">
      <alignment horizontal="left" vertical="center"/>
    </xf>
    <xf numFmtId="186" fontId="20" fillId="0" borderId="0" xfId="3" applyNumberFormat="1" applyFont="1" applyAlignment="1">
      <alignment horizontal="center" vertical="center"/>
    </xf>
    <xf numFmtId="0" fontId="63" fillId="0" borderId="0" xfId="3" applyFont="1" applyAlignment="1">
      <alignment horizontal="right" vertical="center"/>
    </xf>
    <xf numFmtId="0" fontId="61" fillId="0" borderId="0" xfId="3" applyFont="1" applyAlignment="1">
      <alignment horizontal="left" vertical="center"/>
    </xf>
    <xf numFmtId="184" fontId="20" fillId="0" borderId="0" xfId="3" applyNumberFormat="1" applyFont="1" applyAlignment="1">
      <alignment horizontal="right" vertical="center"/>
    </xf>
    <xf numFmtId="0" fontId="20" fillId="0" borderId="22" xfId="3" applyFont="1" applyBorder="1" applyAlignment="1">
      <alignment horizontal="center" vertical="center"/>
    </xf>
    <xf numFmtId="1" fontId="20" fillId="0" borderId="0" xfId="3" applyNumberFormat="1" applyFont="1" applyAlignment="1">
      <alignment horizontal="center" vertical="center"/>
    </xf>
    <xf numFmtId="0" fontId="20" fillId="0" borderId="0" xfId="3" quotePrefix="1" applyFont="1" applyAlignment="1">
      <alignment horizontal="left" vertical="center"/>
    </xf>
    <xf numFmtId="0" fontId="52" fillId="0" borderId="0" xfId="3" applyFont="1" applyAlignment="1">
      <alignment horizontal="center" vertical="center"/>
    </xf>
    <xf numFmtId="0" fontId="20" fillId="0" borderId="0" xfId="3" applyFont="1" applyAlignment="1">
      <alignment vertical="center" wrapText="1"/>
    </xf>
    <xf numFmtId="179" fontId="20" fillId="0" borderId="0" xfId="3" applyNumberFormat="1" applyFont="1" applyAlignment="1">
      <alignment horizontal="right" vertical="center"/>
    </xf>
    <xf numFmtId="183" fontId="20" fillId="0" borderId="0" xfId="3" applyNumberFormat="1" applyFont="1" applyAlignment="1">
      <alignment horizontal="left" vertical="center"/>
    </xf>
    <xf numFmtId="188" fontId="20" fillId="0" borderId="0" xfId="3" applyNumberFormat="1" applyFont="1" applyAlignment="1">
      <alignment horizontal="right" vertical="center"/>
    </xf>
    <xf numFmtId="0" fontId="52" fillId="0" borderId="0" xfId="3" applyFont="1" applyAlignment="1">
      <alignment vertical="center"/>
    </xf>
    <xf numFmtId="179" fontId="20" fillId="0" borderId="0" xfId="3" applyNumberFormat="1" applyFont="1" applyAlignment="1">
      <alignment horizontal="center" vertical="center"/>
    </xf>
    <xf numFmtId="0" fontId="20" fillId="0" borderId="22" xfId="3" applyFont="1" applyBorder="1" applyAlignment="1">
      <alignment vertical="center"/>
    </xf>
    <xf numFmtId="0" fontId="37" fillId="0" borderId="0" xfId="3" quotePrefix="1" applyFont="1"/>
    <xf numFmtId="1" fontId="20" fillId="0" borderId="0" xfId="3" applyNumberFormat="1" applyFont="1" applyAlignment="1">
      <alignment vertical="center"/>
    </xf>
    <xf numFmtId="1" fontId="20" fillId="0" borderId="0" xfId="3" applyNumberFormat="1" applyFont="1" applyAlignment="1">
      <alignment horizontal="left" vertical="center"/>
    </xf>
    <xf numFmtId="0" fontId="52" fillId="0" borderId="0" xfId="3" applyFont="1" applyAlignment="1">
      <alignment horizontal="left" vertical="center"/>
    </xf>
    <xf numFmtId="190" fontId="20" fillId="0" borderId="0" xfId="3" applyNumberFormat="1" applyFont="1" applyAlignment="1">
      <alignment vertical="center"/>
    </xf>
    <xf numFmtId="2" fontId="20" fillId="0" borderId="0" xfId="3" applyNumberFormat="1" applyFont="1" applyAlignment="1">
      <alignment horizontal="right" vertical="center"/>
    </xf>
    <xf numFmtId="184" fontId="20" fillId="0" borderId="0" xfId="3" applyNumberFormat="1" applyFont="1" applyAlignment="1">
      <alignment vertical="center"/>
    </xf>
    <xf numFmtId="0" fontId="66" fillId="0" borderId="0" xfId="3" applyFont="1" applyAlignment="1">
      <alignment vertical="center"/>
    </xf>
    <xf numFmtId="205" fontId="20" fillId="32" borderId="0" xfId="3" applyNumberFormat="1" applyFont="1" applyFill="1" applyAlignment="1">
      <alignment horizontal="right" vertical="center"/>
    </xf>
    <xf numFmtId="1" fontId="20" fillId="32" borderId="0" xfId="3" applyNumberFormat="1" applyFont="1" applyFill="1" applyAlignment="1">
      <alignment horizontal="right" vertical="center"/>
    </xf>
    <xf numFmtId="1" fontId="20" fillId="32" borderId="0" xfId="3" applyNumberFormat="1" applyFont="1" applyFill="1" applyAlignment="1">
      <alignment horizontal="center" vertical="center"/>
    </xf>
    <xf numFmtId="201" fontId="20" fillId="32" borderId="0" xfId="3" applyNumberFormat="1" applyFont="1" applyFill="1" applyAlignment="1">
      <alignment horizontal="center" vertical="center"/>
    </xf>
    <xf numFmtId="0" fontId="20" fillId="32" borderId="0" xfId="3" applyFont="1" applyFill="1" applyAlignment="1">
      <alignment vertical="center"/>
    </xf>
    <xf numFmtId="189" fontId="20" fillId="32" borderId="0" xfId="3" applyNumberFormat="1" applyFont="1" applyFill="1" applyAlignment="1">
      <alignment horizontal="right" vertical="center"/>
    </xf>
    <xf numFmtId="0" fontId="20" fillId="32" borderId="0" xfId="3" applyFont="1" applyFill="1" applyAlignment="1">
      <alignment horizontal="left" vertical="center"/>
    </xf>
    <xf numFmtId="183" fontId="41" fillId="32" borderId="0" xfId="3" applyNumberFormat="1" applyFont="1" applyFill="1" applyAlignment="1">
      <alignment horizontal="left"/>
    </xf>
    <xf numFmtId="0" fontId="41" fillId="32" borderId="0" xfId="3" applyFont="1" applyFill="1" applyAlignment="1">
      <alignment horizontal="left"/>
    </xf>
    <xf numFmtId="183" fontId="45" fillId="32" borderId="0" xfId="3" applyNumberFormat="1" applyFont="1" applyFill="1" applyAlignment="1">
      <alignment horizontal="left" vertical="center" wrapText="1"/>
    </xf>
    <xf numFmtId="0" fontId="45" fillId="32" borderId="0" xfId="3" applyFont="1" applyFill="1" applyAlignment="1">
      <alignment horizontal="left" vertical="center" wrapText="1"/>
    </xf>
    <xf numFmtId="4" fontId="20" fillId="0" borderId="0" xfId="3" applyNumberFormat="1" applyFont="1" applyAlignment="1">
      <alignment horizontal="left" vertical="center"/>
    </xf>
    <xf numFmtId="179" fontId="20" fillId="32" borderId="0" xfId="3" applyNumberFormat="1" applyFont="1" applyFill="1" applyAlignment="1">
      <alignment horizontal="right" vertical="center"/>
    </xf>
    <xf numFmtId="4" fontId="28" fillId="0" borderId="0" xfId="0" applyNumberFormat="1" applyFont="1" applyAlignment="1">
      <alignment vertical="center"/>
    </xf>
    <xf numFmtId="4" fontId="28" fillId="0" borderId="0" xfId="0" applyNumberFormat="1" applyFont="1" applyAlignment="1">
      <alignment vertical="center" wrapText="1"/>
    </xf>
    <xf numFmtId="2" fontId="28" fillId="0" borderId="0" xfId="0" applyNumberFormat="1" applyFont="1" applyAlignment="1">
      <alignment vertical="center"/>
    </xf>
    <xf numFmtId="3" fontId="28" fillId="0" borderId="0" xfId="0" applyNumberFormat="1" applyFont="1" applyAlignment="1">
      <alignment vertical="center"/>
    </xf>
    <xf numFmtId="1" fontId="28" fillId="32" borderId="0" xfId="0" applyNumberFormat="1" applyFont="1" applyFill="1" applyAlignment="1">
      <alignment vertical="center"/>
    </xf>
    <xf numFmtId="182" fontId="28" fillId="32" borderId="0" xfId="0" applyNumberFormat="1" applyFont="1" applyFill="1" applyAlignment="1">
      <alignment vertical="center"/>
    </xf>
    <xf numFmtId="2" fontId="28" fillId="32" borderId="0" xfId="0" applyNumberFormat="1" applyFont="1" applyFill="1" applyAlignment="1">
      <alignment vertical="center"/>
    </xf>
    <xf numFmtId="1" fontId="26" fillId="0" borderId="0" xfId="1" applyNumberFormat="1" applyFont="1" applyAlignment="1">
      <alignment vertical="center"/>
    </xf>
    <xf numFmtId="179" fontId="26" fillId="0" borderId="0" xfId="1" applyNumberFormat="1" applyFont="1" applyAlignment="1">
      <alignment vertical="center"/>
    </xf>
    <xf numFmtId="4" fontId="26" fillId="0" borderId="0" xfId="1" applyNumberFormat="1" applyFont="1" applyAlignment="1">
      <alignment vertical="center" wrapText="1"/>
    </xf>
    <xf numFmtId="10" fontId="26" fillId="0" borderId="0" xfId="1" applyNumberFormat="1" applyFont="1" applyAlignment="1">
      <alignment vertical="center"/>
    </xf>
    <xf numFmtId="2" fontId="28" fillId="0" borderId="0" xfId="1" applyNumberFormat="1" applyFont="1" applyAlignment="1">
      <alignment vertical="center"/>
    </xf>
    <xf numFmtId="4" fontId="0" fillId="0" borderId="0" xfId="0" applyNumberFormat="1"/>
    <xf numFmtId="0" fontId="26" fillId="32" borderId="0" xfId="1" applyFont="1" applyFill="1"/>
    <xf numFmtId="0" fontId="39" fillId="0" borderId="17" xfId="3" applyFont="1" applyBorder="1"/>
    <xf numFmtId="0" fontId="39" fillId="0" borderId="17" xfId="3" applyFont="1" applyBorder="1" applyAlignment="1">
      <alignment horizontal="left"/>
    </xf>
    <xf numFmtId="0" fontId="74" fillId="0" borderId="0" xfId="0" applyFont="1" applyAlignment="1">
      <alignment vertical="center" wrapText="1"/>
    </xf>
    <xf numFmtId="207" fontId="75" fillId="0" borderId="30" xfId="0" applyNumberFormat="1" applyFont="1" applyBorder="1" applyAlignment="1">
      <alignment horizontal="center" vertical="center" wrapText="1"/>
    </xf>
    <xf numFmtId="3" fontId="75" fillId="0" borderId="30" xfId="0" applyNumberFormat="1" applyFont="1" applyBorder="1" applyAlignment="1">
      <alignment horizontal="center" vertical="center" wrapText="1"/>
    </xf>
    <xf numFmtId="207" fontId="75" fillId="0" borderId="31" xfId="0" applyNumberFormat="1" applyFont="1" applyBorder="1" applyAlignment="1">
      <alignment horizontal="center" vertical="center" wrapText="1"/>
    </xf>
    <xf numFmtId="3" fontId="75" fillId="0" borderId="31" xfId="0" applyNumberFormat="1" applyFont="1" applyBorder="1" applyAlignment="1">
      <alignment horizontal="center" vertical="center" wrapText="1"/>
    </xf>
    <xf numFmtId="0" fontId="1" fillId="17" borderId="0" xfId="0" applyFont="1" applyFill="1" applyAlignment="1">
      <alignment horizontal="left" vertical="center"/>
    </xf>
    <xf numFmtId="179" fontId="1" fillId="17" borderId="0" xfId="0" applyNumberFormat="1" applyFont="1" applyFill="1" applyAlignment="1">
      <alignment vertical="center"/>
    </xf>
    <xf numFmtId="1" fontId="1" fillId="17" borderId="0" xfId="0" applyNumberFormat="1" applyFont="1" applyFill="1" applyAlignment="1">
      <alignment vertical="center"/>
    </xf>
    <xf numFmtId="49" fontId="1" fillId="17" borderId="0" xfId="0" applyNumberFormat="1" applyFont="1" applyFill="1" applyAlignment="1">
      <alignment horizontal="left" vertical="center"/>
    </xf>
    <xf numFmtId="176" fontId="1" fillId="0" borderId="4" xfId="0" applyNumberFormat="1" applyFont="1" applyBorder="1" applyAlignment="1">
      <alignment horizontal="right" vertical="center"/>
    </xf>
    <xf numFmtId="0" fontId="0" fillId="17" borderId="0" xfId="0" applyFill="1"/>
    <xf numFmtId="1" fontId="1" fillId="0" borderId="4" xfId="0" applyNumberFormat="1" applyFont="1" applyBorder="1" applyAlignment="1">
      <alignment horizontal="left" vertical="center"/>
    </xf>
    <xf numFmtId="1" fontId="1" fillId="0" borderId="4" xfId="0" applyNumberFormat="1" applyFont="1" applyBorder="1" applyAlignment="1">
      <alignment horizontal="right" vertical="center"/>
    </xf>
    <xf numFmtId="179" fontId="1" fillId="0" borderId="4" xfId="0" applyNumberFormat="1" applyFont="1" applyBorder="1" applyAlignment="1">
      <alignment vertical="center"/>
    </xf>
    <xf numFmtId="1" fontId="1" fillId="0" borderId="4" xfId="0" applyNumberFormat="1" applyFont="1" applyBorder="1" applyAlignment="1">
      <alignment vertical="center"/>
    </xf>
    <xf numFmtId="0" fontId="21" fillId="21" borderId="32" xfId="0" applyFont="1" applyFill="1" applyBorder="1" applyAlignment="1">
      <alignment wrapText="1"/>
    </xf>
    <xf numFmtId="0" fontId="87" fillId="0" borderId="32" xfId="0" applyFont="1" applyBorder="1" applyAlignment="1">
      <alignment wrapText="1"/>
    </xf>
    <xf numFmtId="0" fontId="87" fillId="17" borderId="32" xfId="0" applyFont="1" applyFill="1" applyBorder="1" applyAlignment="1">
      <alignment wrapText="1"/>
    </xf>
    <xf numFmtId="2" fontId="87" fillId="32" borderId="32" xfId="0" applyNumberFormat="1" applyFont="1" applyFill="1" applyBorder="1" applyAlignment="1">
      <alignment wrapText="1"/>
    </xf>
    <xf numFmtId="2" fontId="87" fillId="0" borderId="32" xfId="0" applyNumberFormat="1" applyFont="1" applyBorder="1" applyAlignment="1">
      <alignment wrapText="1"/>
    </xf>
    <xf numFmtId="2" fontId="87" fillId="17" borderId="32" xfId="0" applyNumberFormat="1" applyFont="1" applyFill="1" applyBorder="1" applyAlignment="1">
      <alignment wrapText="1"/>
    </xf>
    <xf numFmtId="1" fontId="87" fillId="32" borderId="32" xfId="0" applyNumberFormat="1" applyFont="1" applyFill="1" applyBorder="1" applyAlignment="1">
      <alignment wrapText="1"/>
    </xf>
    <xf numFmtId="0" fontId="1" fillId="0" borderId="4" xfId="0" applyFont="1" applyBorder="1" applyAlignment="1">
      <alignment horizontal="left" vertical="center"/>
    </xf>
    <xf numFmtId="176" fontId="0" fillId="0" borderId="4" xfId="0" applyNumberFormat="1" applyBorder="1" applyAlignment="1">
      <alignment horizontal="right" vertical="center"/>
    </xf>
    <xf numFmtId="177" fontId="0" fillId="0" borderId="4" xfId="0" applyNumberFormat="1" applyBorder="1" applyAlignment="1">
      <alignment horizontal="right" vertical="center"/>
    </xf>
    <xf numFmtId="2" fontId="0" fillId="0" borderId="4" xfId="0" applyNumberFormat="1" applyBorder="1" applyAlignment="1">
      <alignment horizontal="right" vertical="center"/>
    </xf>
    <xf numFmtId="1" fontId="17" fillId="0" borderId="4" xfId="0" applyNumberFormat="1" applyFont="1" applyBorder="1" applyAlignment="1">
      <alignment horizontal="right" vertical="center"/>
    </xf>
    <xf numFmtId="0" fontId="0" fillId="0" borderId="4" xfId="0" applyBorder="1" applyAlignment="1">
      <alignment horizontal="right" vertical="center"/>
    </xf>
    <xf numFmtId="0" fontId="7" fillId="0" borderId="4" xfId="0" applyFont="1" applyBorder="1" applyAlignment="1">
      <alignment horizontal="center" vertical="center"/>
    </xf>
    <xf numFmtId="0" fontId="75" fillId="0" borderId="0" xfId="0" applyFont="1" applyAlignment="1">
      <alignment horizontal="left" vertical="center" wrapText="1"/>
    </xf>
    <xf numFmtId="2" fontId="75" fillId="0" borderId="0" xfId="0" applyNumberFormat="1" applyFont="1" applyAlignment="1">
      <alignment horizontal="right" vertical="center" wrapText="1"/>
    </xf>
    <xf numFmtId="2" fontId="83" fillId="0" borderId="0" xfId="0" applyNumberFormat="1" applyFont="1" applyAlignment="1">
      <alignment horizontal="right" vertical="center" wrapText="1"/>
    </xf>
    <xf numFmtId="0" fontId="75" fillId="0" borderId="28" xfId="0" applyFont="1" applyBorder="1" applyAlignment="1">
      <alignment horizontal="left" vertical="center" wrapText="1"/>
    </xf>
    <xf numFmtId="2" fontId="75" fillId="0" borderId="28" xfId="0" applyNumberFormat="1" applyFont="1" applyBorder="1" applyAlignment="1">
      <alignment horizontal="right" vertical="center" wrapText="1"/>
    </xf>
    <xf numFmtId="2" fontId="83" fillId="0" borderId="28" xfId="0" applyNumberFormat="1" applyFont="1" applyBorder="1" applyAlignment="1">
      <alignment horizontal="right" vertical="center" wrapText="1"/>
    </xf>
    <xf numFmtId="0" fontId="75" fillId="0" borderId="27" xfId="0" applyFont="1" applyBorder="1" applyAlignment="1">
      <alignment horizontal="left" vertical="center" wrapText="1"/>
    </xf>
    <xf numFmtId="2" fontId="75" fillId="0" borderId="27" xfId="0" applyNumberFormat="1" applyFont="1" applyBorder="1" applyAlignment="1">
      <alignment horizontal="right" vertical="center" wrapText="1"/>
    </xf>
    <xf numFmtId="2" fontId="83" fillId="0" borderId="27" xfId="0" applyNumberFormat="1" applyFont="1" applyBorder="1" applyAlignment="1">
      <alignment horizontal="right" vertical="center" wrapText="1"/>
    </xf>
    <xf numFmtId="0" fontId="31" fillId="18" borderId="0" xfId="2" applyFill="1" applyAlignment="1">
      <alignment vertical="center" wrapText="1"/>
    </xf>
    <xf numFmtId="0" fontId="26" fillId="17" borderId="32" xfId="0" applyFont="1" applyFill="1" applyBorder="1" applyAlignment="1">
      <alignment wrapText="1"/>
    </xf>
    <xf numFmtId="0" fontId="26" fillId="32" borderId="32" xfId="0" applyFont="1" applyFill="1" applyBorder="1" applyAlignment="1">
      <alignment wrapText="1"/>
    </xf>
    <xf numFmtId="2" fontId="26" fillId="17" borderId="32" xfId="0" applyNumberFormat="1" applyFont="1" applyFill="1" applyBorder="1" applyAlignment="1">
      <alignment wrapText="1"/>
    </xf>
    <xf numFmtId="1" fontId="26" fillId="17" borderId="32" xfId="0" applyNumberFormat="1" applyFont="1" applyFill="1" applyBorder="1" applyAlignment="1">
      <alignment wrapText="1"/>
    </xf>
    <xf numFmtId="205" fontId="20" fillId="0" borderId="0" xfId="3" applyNumberFormat="1" applyFont="1" applyAlignment="1">
      <alignment horizontal="right" vertical="center"/>
    </xf>
    <xf numFmtId="0" fontId="21" fillId="21" borderId="32" xfId="0" applyFont="1" applyFill="1" applyBorder="1" applyAlignment="1">
      <alignment vertical="center" wrapText="1"/>
    </xf>
    <xf numFmtId="176" fontId="24" fillId="0" borderId="32" xfId="0" applyNumberFormat="1" applyFont="1" applyBorder="1" applyAlignment="1">
      <alignment vertical="center" wrapText="1"/>
    </xf>
    <xf numFmtId="1" fontId="24" fillId="0" borderId="32" xfId="0" applyNumberFormat="1" applyFont="1" applyBorder="1" applyAlignment="1">
      <alignment vertical="center" wrapText="1"/>
    </xf>
    <xf numFmtId="181" fontId="0" fillId="0" borderId="4" xfId="0" applyNumberFormat="1" applyBorder="1"/>
    <xf numFmtId="201" fontId="52" fillId="17" borderId="0" xfId="4" applyNumberFormat="1" applyFont="1" applyFill="1" applyAlignment="1">
      <alignment vertical="center"/>
    </xf>
    <xf numFmtId="0" fontId="52" fillId="17" borderId="0" xfId="4" applyFont="1" applyFill="1" applyAlignment="1">
      <alignment horizontal="center" vertical="center"/>
    </xf>
    <xf numFmtId="0" fontId="20" fillId="17" borderId="0" xfId="4" applyFont="1" applyFill="1" applyAlignment="1">
      <alignment horizontal="center" vertical="center"/>
    </xf>
    <xf numFmtId="203" fontId="52" fillId="17" borderId="0" xfId="4" applyNumberFormat="1" applyFont="1" applyFill="1" applyAlignment="1">
      <alignment horizontal="right" vertical="center"/>
    </xf>
    <xf numFmtId="0" fontId="1" fillId="32" borderId="1" xfId="1" applyFont="1" applyFill="1" applyBorder="1" applyAlignment="1">
      <alignment vertical="top" wrapText="1"/>
    </xf>
    <xf numFmtId="176" fontId="1" fillId="0" borderId="1" xfId="1" applyNumberFormat="1" applyFont="1" applyBorder="1" applyAlignment="1">
      <alignment horizontal="right" vertical="top" wrapText="1"/>
    </xf>
    <xf numFmtId="0" fontId="0" fillId="0" borderId="0" xfId="0" applyAlignment="1">
      <alignment vertical="top" wrapText="1"/>
    </xf>
    <xf numFmtId="176" fontId="1" fillId="32" borderId="1" xfId="1" applyNumberFormat="1" applyFont="1" applyFill="1" applyBorder="1" applyAlignment="1">
      <alignment horizontal="right" vertical="top" wrapText="1"/>
    </xf>
    <xf numFmtId="0" fontId="89" fillId="0" borderId="0" xfId="0" applyFont="1"/>
    <xf numFmtId="0" fontId="25" fillId="31" borderId="0" xfId="0" applyFont="1" applyFill="1" applyAlignment="1">
      <alignment wrapText="1"/>
    </xf>
    <xf numFmtId="208" fontId="0" fillId="0" borderId="0" xfId="0" applyNumberFormat="1"/>
    <xf numFmtId="0" fontId="0" fillId="34" borderId="0" xfId="0" applyFill="1"/>
    <xf numFmtId="208" fontId="0" fillId="34" borderId="0" xfId="0" applyNumberFormat="1" applyFill="1"/>
    <xf numFmtId="0" fontId="90" fillId="0" borderId="0" xfId="0" applyFont="1"/>
    <xf numFmtId="0" fontId="21" fillId="33" borderId="0" xfId="0" applyFont="1" applyFill="1"/>
    <xf numFmtId="0" fontId="26" fillId="0" borderId="32" xfId="0" applyFont="1" applyBorder="1" applyAlignment="1">
      <alignment vertical="center" wrapText="1"/>
    </xf>
    <xf numFmtId="0" fontId="88" fillId="0" borderId="0" xfId="0" applyFont="1"/>
    <xf numFmtId="0" fontId="26" fillId="0" borderId="0" xfId="0" applyFont="1"/>
    <xf numFmtId="0" fontId="25" fillId="33" borderId="0" xfId="0" applyFont="1" applyFill="1"/>
    <xf numFmtId="0" fontId="21" fillId="21" borderId="32" xfId="0" applyFont="1" applyFill="1" applyBorder="1" applyAlignment="1">
      <alignment vertical="center" wrapText="1"/>
    </xf>
    <xf numFmtId="181" fontId="26" fillId="17" borderId="32" xfId="0" applyNumberFormat="1" applyFont="1" applyFill="1" applyBorder="1" applyAlignment="1">
      <alignment vertical="center" wrapText="1"/>
    </xf>
    <xf numFmtId="1" fontId="26" fillId="17" borderId="32" xfId="0" applyNumberFormat="1" applyFont="1" applyFill="1" applyBorder="1" applyAlignment="1">
      <alignment vertical="center" wrapText="1"/>
    </xf>
    <xf numFmtId="181" fontId="26" fillId="32" borderId="32" xfId="0" applyNumberFormat="1" applyFont="1" applyFill="1" applyBorder="1" applyAlignment="1">
      <alignment vertical="center" wrapText="1"/>
    </xf>
    <xf numFmtId="1" fontId="26" fillId="32" borderId="32" xfId="0" applyNumberFormat="1" applyFont="1" applyFill="1" applyBorder="1" applyAlignment="1">
      <alignment vertical="center" wrapText="1"/>
    </xf>
    <xf numFmtId="0" fontId="28" fillId="0" borderId="33" xfId="0" applyFont="1" applyBorder="1"/>
    <xf numFmtId="0" fontId="0" fillId="0" borderId="0" xfId="0" applyAlignment="1">
      <alignment wrapText="1"/>
    </xf>
    <xf numFmtId="0" fontId="26" fillId="0" borderId="0" xfId="0" applyFont="1" applyAlignment="1">
      <alignment wrapText="1"/>
    </xf>
    <xf numFmtId="0" fontId="61" fillId="0" borderId="25" xfId="0" applyFont="1" applyBorder="1" applyAlignment="1">
      <alignment vertical="center"/>
    </xf>
    <xf numFmtId="0" fontId="61" fillId="18" borderId="25" xfId="0" applyFont="1" applyFill="1" applyBorder="1" applyAlignment="1">
      <alignment vertical="center"/>
    </xf>
    <xf numFmtId="0" fontId="21" fillId="26" borderId="0" xfId="0" applyFont="1" applyFill="1" applyAlignment="1">
      <alignment vertical="center"/>
    </xf>
    <xf numFmtId="0" fontId="4" fillId="22" borderId="0" xfId="0" applyFont="1" applyFill="1" applyAlignment="1">
      <alignment vertical="center"/>
    </xf>
    <xf numFmtId="0" fontId="21" fillId="26" borderId="0" xfId="0" applyFont="1" applyFill="1" applyAlignment="1">
      <alignment vertical="center" wrapText="1"/>
    </xf>
    <xf numFmtId="0" fontId="66" fillId="18" borderId="0" xfId="0" applyFont="1" applyFill="1" applyAlignment="1">
      <alignment vertical="center" wrapText="1"/>
    </xf>
    <xf numFmtId="0" fontId="28" fillId="0" borderId="0" xfId="0" applyFont="1" applyAlignment="1">
      <alignment vertical="center" wrapText="1"/>
    </xf>
    <xf numFmtId="0" fontId="28" fillId="18" borderId="0" xfId="0" applyFont="1" applyFill="1" applyAlignment="1">
      <alignment vertical="center" wrapText="1"/>
    </xf>
    <xf numFmtId="0" fontId="67" fillId="0" borderId="0" xfId="0" applyFont="1" applyAlignment="1">
      <alignment vertical="center" wrapText="1"/>
    </xf>
    <xf numFmtId="0" fontId="32" fillId="18" borderId="0" xfId="0" applyFont="1" applyFill="1" applyAlignment="1">
      <alignment vertical="center" wrapText="1"/>
    </xf>
    <xf numFmtId="0" fontId="53" fillId="0" borderId="0" xfId="0" applyFont="1" applyAlignment="1">
      <alignment vertical="center" wrapText="1"/>
    </xf>
    <xf numFmtId="0" fontId="53" fillId="0" borderId="26" xfId="0" applyFont="1" applyBorder="1" applyAlignment="1">
      <alignment vertical="center" wrapText="1"/>
    </xf>
    <xf numFmtId="0" fontId="20" fillId="0" borderId="0" xfId="0" applyFont="1" applyAlignment="1">
      <alignment vertical="center" wrapText="1"/>
    </xf>
    <xf numFmtId="0" fontId="20" fillId="18" borderId="0" xfId="0" applyFont="1" applyFill="1" applyAlignment="1">
      <alignment vertical="center" wrapText="1"/>
    </xf>
    <xf numFmtId="0" fontId="20" fillId="18" borderId="26" xfId="0" applyFont="1" applyFill="1" applyBorder="1" applyAlignment="1">
      <alignment vertical="center" wrapText="1"/>
    </xf>
    <xf numFmtId="0" fontId="4" fillId="23" borderId="0" xfId="0" applyFont="1" applyFill="1" applyAlignment="1">
      <alignment vertical="center" wrapText="1"/>
    </xf>
    <xf numFmtId="0" fontId="24" fillId="0" borderId="0" xfId="0" applyFont="1" applyAlignment="1">
      <alignment wrapText="1"/>
    </xf>
    <xf numFmtId="0" fontId="24" fillId="18" borderId="0" xfId="0" applyFont="1" applyFill="1" applyAlignment="1">
      <alignment wrapText="1"/>
    </xf>
    <xf numFmtId="0" fontId="21" fillId="22" borderId="0" xfId="0" applyFont="1" applyFill="1" applyAlignment="1">
      <alignment vertical="center"/>
    </xf>
    <xf numFmtId="0" fontId="24" fillId="0" borderId="0" xfId="0" applyFont="1"/>
    <xf numFmtId="0" fontId="24" fillId="18" borderId="0" xfId="0" applyFont="1" applyFill="1"/>
    <xf numFmtId="0" fontId="28" fillId="0" borderId="26" xfId="0" applyFont="1" applyBorder="1" applyAlignment="1">
      <alignment vertical="center" wrapText="1"/>
    </xf>
    <xf numFmtId="0" fontId="56" fillId="24" borderId="0" xfId="0" applyFont="1" applyFill="1" applyAlignment="1">
      <alignment vertical="center" wrapText="1"/>
    </xf>
    <xf numFmtId="0" fontId="0" fillId="0" borderId="0" xfId="0" applyAlignment="1">
      <alignment vertical="center" wrapText="1"/>
    </xf>
    <xf numFmtId="0" fontId="21" fillId="26" borderId="0" xfId="0" applyFont="1" applyFill="1" applyAlignment="1">
      <alignment horizontal="left" vertical="center"/>
    </xf>
    <xf numFmtId="0" fontId="20" fillId="0" borderId="0" xfId="0" applyFont="1" applyAlignment="1">
      <alignment horizontal="left" vertical="center" wrapText="1"/>
    </xf>
    <xf numFmtId="0" fontId="20" fillId="0" borderId="26" xfId="0" applyFont="1" applyBorder="1" applyAlignment="1">
      <alignment horizontal="left" vertical="center" wrapText="1"/>
    </xf>
    <xf numFmtId="0" fontId="20" fillId="18" borderId="0" xfId="0" applyFont="1" applyFill="1" applyAlignment="1">
      <alignment horizontal="left" vertical="center" wrapText="1"/>
    </xf>
    <xf numFmtId="0" fontId="1" fillId="0" borderId="4" xfId="0" applyFont="1" applyBorder="1" applyAlignment="1">
      <alignment vertical="center" wrapText="1"/>
    </xf>
    <xf numFmtId="0" fontId="3" fillId="0" borderId="0" xfId="0" applyFont="1" applyAlignment="1">
      <alignment wrapText="1"/>
    </xf>
    <xf numFmtId="0" fontId="5" fillId="5" borderId="13" xfId="0" applyFont="1" applyFill="1" applyBorder="1"/>
    <xf numFmtId="0" fontId="5" fillId="5" borderId="0" xfId="0" applyFont="1" applyFill="1"/>
    <xf numFmtId="0" fontId="12" fillId="5" borderId="0" xfId="0" applyFont="1" applyFill="1"/>
    <xf numFmtId="0" fontId="2" fillId="0" borderId="0" xfId="1" applyFont="1" applyAlignment="1">
      <alignment vertical="center"/>
    </xf>
    <xf numFmtId="0" fontId="0" fillId="0" borderId="0" xfId="0"/>
    <xf numFmtId="0" fontId="3" fillId="0" borderId="0" xfId="1" applyFont="1" applyAlignment="1">
      <alignment vertical="center" wrapText="1"/>
    </xf>
    <xf numFmtId="0" fontId="6" fillId="7" borderId="1" xfId="0" applyFont="1" applyFill="1" applyBorder="1"/>
    <xf numFmtId="0" fontId="5" fillId="0" borderId="3" xfId="0" applyFont="1" applyBorder="1"/>
    <xf numFmtId="0" fontId="5" fillId="14" borderId="3" xfId="0" applyFont="1" applyFill="1" applyBorder="1"/>
    <xf numFmtId="0" fontId="21" fillId="16" borderId="0" xfId="0" applyFont="1" applyFill="1" applyAlignment="1">
      <alignment wrapText="1"/>
    </xf>
    <xf numFmtId="0" fontId="26" fillId="0" borderId="0" xfId="0" applyFont="1" applyAlignment="1">
      <alignment vertical="center" wrapText="1"/>
    </xf>
    <xf numFmtId="0" fontId="26" fillId="18" borderId="0" xfId="0" applyFont="1" applyFill="1" applyAlignment="1">
      <alignment vertical="center" wrapText="1"/>
    </xf>
    <xf numFmtId="0" fontId="25" fillId="16" borderId="13" xfId="0" applyFont="1" applyFill="1" applyBorder="1" applyAlignment="1">
      <alignment wrapText="1"/>
    </xf>
    <xf numFmtId="0" fontId="5" fillId="11" borderId="0" xfId="0" applyFont="1" applyFill="1"/>
    <xf numFmtId="0" fontId="13" fillId="0" borderId="4" xfId="0" applyFont="1" applyBorder="1" applyAlignment="1">
      <alignment vertical="center" wrapText="1"/>
    </xf>
    <xf numFmtId="0" fontId="16" fillId="0" borderId="1" xfId="0" applyFont="1" applyBorder="1" applyAlignment="1">
      <alignment horizontal="center" vertical="center" wrapText="1"/>
    </xf>
    <xf numFmtId="0" fontId="12" fillId="8" borderId="0" xfId="0" applyFont="1" applyFill="1"/>
    <xf numFmtId="0" fontId="5" fillId="9" borderId="0" xfId="0" applyFont="1" applyFill="1" applyAlignment="1">
      <alignment horizontal="center" vertical="center"/>
    </xf>
    <xf numFmtId="0" fontId="15" fillId="10" borderId="0" xfId="0" applyFont="1" applyFill="1" applyAlignment="1">
      <alignment horizontal="center" vertical="center"/>
    </xf>
    <xf numFmtId="0" fontId="6" fillId="17" borderId="0" xfId="0" applyFont="1" applyFill="1" applyAlignment="1">
      <alignment horizontal="center" vertical="center"/>
    </xf>
    <xf numFmtId="0" fontId="5" fillId="9" borderId="13" xfId="0" applyFont="1" applyFill="1" applyBorder="1" applyAlignment="1">
      <alignment horizontal="left" vertical="center"/>
    </xf>
    <xf numFmtId="0" fontId="77" fillId="30" borderId="0" xfId="0" applyFont="1" applyFill="1" applyAlignment="1">
      <alignment horizontal="left" vertical="center" wrapText="1"/>
    </xf>
    <xf numFmtId="0" fontId="74" fillId="32" borderId="0" xfId="0" applyFont="1" applyFill="1" applyAlignment="1">
      <alignment horizontal="left" vertical="center" wrapText="1"/>
    </xf>
    <xf numFmtId="0" fontId="74" fillId="32" borderId="27" xfId="0" applyFont="1" applyFill="1" applyBorder="1" applyAlignment="1">
      <alignment horizontal="left" vertical="center" wrapText="1"/>
    </xf>
    <xf numFmtId="0" fontId="74" fillId="32" borderId="28" xfId="0" applyFont="1" applyFill="1" applyBorder="1" applyAlignment="1">
      <alignment horizontal="left" vertical="center" wrapText="1"/>
    </xf>
    <xf numFmtId="0" fontId="81" fillId="31" borderId="0" xfId="0" applyFont="1" applyFill="1" applyAlignment="1">
      <alignment horizontal="left" vertical="center" wrapText="1"/>
    </xf>
    <xf numFmtId="0" fontId="21" fillId="31" borderId="0" xfId="0" applyFont="1" applyFill="1" applyAlignment="1">
      <alignment horizontal="left" vertical="center" wrapText="1"/>
    </xf>
    <xf numFmtId="0" fontId="80" fillId="0" borderId="0" xfId="0" applyFont="1" applyAlignment="1">
      <alignment horizontal="left" vertical="center" wrapText="1"/>
    </xf>
    <xf numFmtId="0" fontId="79" fillId="0" borderId="0" xfId="0" applyFont="1" applyAlignment="1">
      <alignment horizontal="left" vertical="center" wrapText="1"/>
    </xf>
    <xf numFmtId="0" fontId="74" fillId="17" borderId="0" xfId="0" applyFont="1" applyFill="1" applyAlignment="1">
      <alignment horizontal="left" vertical="center" wrapText="1"/>
    </xf>
    <xf numFmtId="0" fontId="74" fillId="0" borderId="0" xfId="0" applyFont="1" applyAlignment="1">
      <alignment horizontal="left" vertical="center" wrapText="1"/>
    </xf>
    <xf numFmtId="0" fontId="20" fillId="0" borderId="0" xfId="4" applyFont="1" applyAlignment="1">
      <alignment horizontal="center" vertical="center"/>
    </xf>
    <xf numFmtId="1" fontId="20" fillId="0" borderId="0" xfId="4" applyNumberFormat="1" applyFont="1" applyAlignment="1">
      <alignment horizontal="center" vertical="center"/>
    </xf>
    <xf numFmtId="0" fontId="20" fillId="0" borderId="0" xfId="1" applyFont="1" applyAlignment="1">
      <alignment vertical="center"/>
    </xf>
    <xf numFmtId="0" fontId="20" fillId="18" borderId="0" xfId="1" applyFont="1" applyFill="1" applyAlignment="1">
      <alignment vertical="center"/>
    </xf>
    <xf numFmtId="2" fontId="20" fillId="0" borderId="0" xfId="4" applyNumberFormat="1" applyFont="1" applyAlignment="1">
      <alignment horizontal="center" vertical="center"/>
    </xf>
    <xf numFmtId="1" fontId="52" fillId="32" borderId="0" xfId="4" applyNumberFormat="1" applyFont="1" applyFill="1" applyAlignment="1">
      <alignment horizontal="left" vertical="center"/>
    </xf>
    <xf numFmtId="1" fontId="52" fillId="17" borderId="0" xfId="4" applyNumberFormat="1" applyFont="1" applyFill="1" applyAlignment="1">
      <alignment horizontal="left" vertical="center"/>
    </xf>
    <xf numFmtId="191" fontId="52" fillId="0" borderId="0" xfId="4" applyNumberFormat="1" applyFont="1" applyAlignment="1">
      <alignment horizontal="center" vertical="center"/>
    </xf>
    <xf numFmtId="0" fontId="21" fillId="26" borderId="0" xfId="1" applyFont="1" applyFill="1" applyAlignment="1">
      <alignment vertical="center"/>
    </xf>
    <xf numFmtId="179" fontId="20" fillId="0" borderId="0" xfId="1" applyNumberFormat="1" applyFont="1" applyAlignment="1">
      <alignment vertical="center"/>
    </xf>
    <xf numFmtId="0" fontId="20" fillId="0" borderId="0" xfId="1" applyFont="1" applyAlignment="1">
      <alignment vertical="center" wrapText="1"/>
    </xf>
    <xf numFmtId="0" fontId="74" fillId="29" borderId="0" xfId="0" applyFont="1" applyFill="1" applyAlignment="1">
      <alignment vertical="center" wrapText="1"/>
    </xf>
    <xf numFmtId="196" fontId="20" fillId="0" borderId="0" xfId="4" applyNumberFormat="1" applyFont="1" applyAlignment="1">
      <alignment horizontal="center" vertical="center"/>
    </xf>
    <xf numFmtId="197" fontId="20" fillId="0" borderId="0" xfId="4" applyNumberFormat="1" applyFont="1" applyAlignment="1">
      <alignment horizontal="center" vertical="center"/>
    </xf>
    <xf numFmtId="0" fontId="72" fillId="0" borderId="0" xfId="0" applyFont="1" applyAlignment="1">
      <alignment vertical="center" wrapText="1"/>
    </xf>
    <xf numFmtId="0" fontId="21" fillId="26" borderId="0" xfId="4" applyFont="1" applyFill="1" applyAlignment="1">
      <alignment horizontal="left" vertical="center"/>
    </xf>
    <xf numFmtId="179" fontId="20" fillId="0" borderId="0" xfId="4" applyNumberFormat="1" applyFont="1" applyAlignment="1">
      <alignment horizontal="center" vertical="center"/>
    </xf>
    <xf numFmtId="0" fontId="30" fillId="0" borderId="0" xfId="3" applyFont="1" applyAlignment="1">
      <alignment vertical="center" wrapText="1"/>
    </xf>
    <xf numFmtId="0" fontId="21" fillId="26" borderId="0" xfId="3" applyFont="1" applyFill="1" applyAlignment="1">
      <alignment vertical="center" wrapText="1"/>
    </xf>
    <xf numFmtId="0" fontId="28" fillId="0" borderId="0" xfId="3" applyAlignment="1">
      <alignment vertical="center" wrapText="1"/>
    </xf>
    <xf numFmtId="0" fontId="4" fillId="26" borderId="0" xfId="3" applyFont="1" applyFill="1" applyAlignment="1">
      <alignment vertical="center" wrapText="1"/>
    </xf>
    <xf numFmtId="201" fontId="28" fillId="32" borderId="0" xfId="3" applyNumberFormat="1" applyFill="1" applyAlignment="1">
      <alignment horizontal="right"/>
    </xf>
    <xf numFmtId="0" fontId="28" fillId="27" borderId="0" xfId="3" applyFill="1" applyAlignment="1">
      <alignment horizontal="right"/>
    </xf>
    <xf numFmtId="193" fontId="28" fillId="32" borderId="0" xfId="3" applyNumberFormat="1" applyFill="1" applyAlignment="1">
      <alignment horizontal="right"/>
    </xf>
    <xf numFmtId="206" fontId="28" fillId="32" borderId="0" xfId="3" applyNumberFormat="1" applyFill="1" applyAlignment="1">
      <alignment horizontal="right"/>
    </xf>
    <xf numFmtId="0" fontId="76" fillId="0" borderId="0" xfId="3" applyFont="1" applyAlignment="1">
      <alignment vertical="top" wrapText="1"/>
    </xf>
    <xf numFmtId="0" fontId="70" fillId="0" borderId="0" xfId="3" applyFont="1" applyAlignment="1">
      <alignment vertical="top" wrapText="1"/>
    </xf>
    <xf numFmtId="0" fontId="20" fillId="0" borderId="0" xfId="3" applyFont="1" applyAlignment="1">
      <alignment horizontal="left" vertical="center" wrapText="1"/>
    </xf>
    <xf numFmtId="0" fontId="5" fillId="0" borderId="0" xfId="3" applyFont="1" applyAlignment="1">
      <alignment horizontal="left" vertical="center" wrapText="1"/>
    </xf>
    <xf numFmtId="0" fontId="5" fillId="0" borderId="23" xfId="3" applyFont="1" applyBorder="1" applyAlignment="1">
      <alignment horizontal="left" vertical="center" wrapText="1"/>
    </xf>
    <xf numFmtId="0" fontId="23" fillId="0" borderId="0" xfId="2" applyFont="1" applyFill="1" applyAlignment="1">
      <alignment horizontal="left" vertical="center" wrapText="1"/>
    </xf>
    <xf numFmtId="179" fontId="20" fillId="0" borderId="22" xfId="3" applyNumberFormat="1" applyFont="1" applyBorder="1" applyAlignment="1">
      <alignment horizontal="left" vertical="center" wrapText="1"/>
    </xf>
    <xf numFmtId="179" fontId="20" fillId="18" borderId="22" xfId="3" applyNumberFormat="1" applyFont="1" applyFill="1" applyBorder="1" applyAlignment="1">
      <alignment horizontal="left" vertical="center" wrapText="1"/>
    </xf>
    <xf numFmtId="179" fontId="20" fillId="18" borderId="0" xfId="3" applyNumberFormat="1" applyFont="1" applyFill="1" applyAlignment="1">
      <alignment horizontal="left" vertical="center" wrapText="1"/>
    </xf>
    <xf numFmtId="0" fontId="20" fillId="0" borderId="22" xfId="3" applyFont="1" applyBorder="1"/>
    <xf numFmtId="0" fontId="20" fillId="0" borderId="0" xfId="3" applyFont="1"/>
    <xf numFmtId="0" fontId="52" fillId="0" borderId="0" xfId="3" applyFont="1" applyAlignment="1">
      <alignment horizontal="left" vertical="center" wrapText="1"/>
    </xf>
    <xf numFmtId="179" fontId="52" fillId="0" borderId="0" xfId="3" applyNumberFormat="1" applyFont="1" applyAlignment="1">
      <alignment horizontal="left" vertical="center" wrapText="1"/>
    </xf>
    <xf numFmtId="0" fontId="20" fillId="18" borderId="0" xfId="3" applyFont="1" applyFill="1" applyAlignment="1">
      <alignment horizontal="left" vertical="center" wrapText="1"/>
    </xf>
    <xf numFmtId="179" fontId="20" fillId="0" borderId="0" xfId="3" applyNumberFormat="1" applyFont="1" applyAlignment="1">
      <alignment horizontal="left" vertical="center" wrapText="1"/>
    </xf>
    <xf numFmtId="176" fontId="20" fillId="0" borderId="0" xfId="0" applyNumberFormat="1" applyFont="1" applyAlignment="1">
      <alignment horizontal="left" vertical="center" wrapText="1"/>
    </xf>
    <xf numFmtId="0" fontId="45" fillId="0" borderId="0" xfId="3" applyFont="1" applyAlignment="1">
      <alignment vertical="center" wrapText="1"/>
    </xf>
    <xf numFmtId="0" fontId="45" fillId="0" borderId="0" xfId="3" applyFont="1" applyAlignment="1">
      <alignment horizontal="left" vertical="center" wrapText="1"/>
    </xf>
    <xf numFmtId="0" fontId="20" fillId="0" borderId="0" xfId="3" applyFont="1" applyAlignment="1" applyProtection="1">
      <alignment horizontal="left" vertical="center" wrapText="1"/>
      <protection locked="0"/>
    </xf>
    <xf numFmtId="0" fontId="20" fillId="18" borderId="0" xfId="3" applyFont="1" applyFill="1" applyAlignment="1" applyProtection="1">
      <alignment horizontal="left" vertical="center" wrapText="1"/>
      <protection locked="0"/>
    </xf>
    <xf numFmtId="0" fontId="52" fillId="0" borderId="22" xfId="3" applyFont="1" applyBorder="1" applyAlignment="1" applyProtection="1">
      <alignment horizontal="left" vertical="center" wrapText="1"/>
      <protection locked="0"/>
    </xf>
    <xf numFmtId="0" fontId="52" fillId="18" borderId="22" xfId="3" applyFont="1" applyFill="1" applyBorder="1" applyAlignment="1" applyProtection="1">
      <alignment horizontal="left" vertical="center" wrapText="1"/>
      <protection locked="0"/>
    </xf>
    <xf numFmtId="0" fontId="52" fillId="18" borderId="0" xfId="3" applyFont="1" applyFill="1" applyAlignment="1" applyProtection="1">
      <alignment horizontal="left" vertical="center" wrapText="1"/>
      <protection locked="0"/>
    </xf>
    <xf numFmtId="0" fontId="52" fillId="0" borderId="22" xfId="3" applyFont="1" applyBorder="1" applyAlignment="1">
      <alignment horizontal="left" vertical="center" wrapText="1"/>
    </xf>
    <xf numFmtId="0" fontId="4" fillId="22" borderId="0" xfId="0" applyFont="1" applyFill="1" applyAlignment="1">
      <alignment vertical="center" wrapText="1"/>
    </xf>
    <xf numFmtId="0" fontId="51" fillId="0" borderId="0" xfId="3" applyFont="1" applyAlignment="1">
      <alignment vertical="center" wrapText="1"/>
    </xf>
    <xf numFmtId="4" fontId="20" fillId="0" borderId="0" xfId="3" applyNumberFormat="1" applyFont="1" applyAlignment="1" applyProtection="1">
      <alignment horizontal="left" vertical="center"/>
      <protection locked="0"/>
    </xf>
    <xf numFmtId="0" fontId="20" fillId="18" borderId="0" xfId="3" applyFont="1" applyFill="1" applyAlignment="1" applyProtection="1">
      <alignment horizontal="left" vertical="center"/>
      <protection locked="0"/>
    </xf>
    <xf numFmtId="0" fontId="71" fillId="26" borderId="0" xfId="3" applyFont="1" applyFill="1" applyAlignment="1">
      <alignment vertical="center"/>
    </xf>
    <xf numFmtId="0" fontId="21" fillId="26" borderId="0" xfId="3" applyFont="1" applyFill="1" applyAlignment="1">
      <alignment vertical="center"/>
    </xf>
    <xf numFmtId="0" fontId="20" fillId="0" borderId="0" xfId="3" applyFont="1" applyAlignment="1" applyProtection="1">
      <alignment horizontal="left" vertical="center"/>
      <protection locked="0"/>
    </xf>
    <xf numFmtId="0" fontId="45" fillId="17" borderId="0" xfId="3" applyFont="1" applyFill="1" applyAlignment="1">
      <alignment vertical="center" wrapText="1"/>
    </xf>
    <xf numFmtId="0" fontId="20" fillId="0" borderId="0" xfId="3" applyFont="1" applyAlignment="1">
      <alignment horizontal="center" vertical="center"/>
    </xf>
    <xf numFmtId="0" fontId="20" fillId="18" borderId="0" xfId="3" applyFont="1" applyFill="1" applyAlignment="1">
      <alignment horizontal="center" vertical="center"/>
    </xf>
    <xf numFmtId="0" fontId="20" fillId="18" borderId="0" xfId="3" applyFont="1" applyFill="1" applyAlignment="1">
      <alignment vertical="center"/>
    </xf>
    <xf numFmtId="0" fontId="20" fillId="0" borderId="0" xfId="3" applyFont="1" applyAlignment="1">
      <alignment vertical="center"/>
    </xf>
    <xf numFmtId="0" fontId="20" fillId="0" borderId="0" xfId="3" applyFont="1" applyAlignment="1">
      <alignment horizontal="left" vertical="center"/>
    </xf>
    <xf numFmtId="0" fontId="20" fillId="18" borderId="0" xfId="3" applyFont="1" applyFill="1" applyAlignment="1">
      <alignment horizontal="left" vertical="center"/>
    </xf>
    <xf numFmtId="0" fontId="20" fillId="0" borderId="0" xfId="3" applyFont="1" applyAlignment="1">
      <alignment horizontal="right" vertical="center"/>
    </xf>
    <xf numFmtId="0" fontId="20" fillId="18" borderId="0" xfId="3" applyFont="1" applyFill="1" applyAlignment="1">
      <alignment horizontal="right" vertical="center"/>
    </xf>
    <xf numFmtId="187" fontId="20" fillId="0" borderId="0" xfId="3" applyNumberFormat="1" applyFont="1" applyAlignment="1">
      <alignment horizontal="left" vertical="center"/>
    </xf>
    <xf numFmtId="187" fontId="20" fillId="18" borderId="0" xfId="3" applyNumberFormat="1" applyFont="1" applyFill="1" applyAlignment="1">
      <alignment horizontal="left" vertical="center"/>
    </xf>
    <xf numFmtId="0" fontId="63" fillId="0" borderId="0" xfId="3" applyFont="1" applyAlignment="1">
      <alignment horizontal="right" vertical="center"/>
    </xf>
    <xf numFmtId="0" fontId="63" fillId="18" borderId="0" xfId="3" applyFont="1" applyFill="1" applyAlignment="1">
      <alignment horizontal="right" vertical="center"/>
    </xf>
    <xf numFmtId="0" fontId="20" fillId="0" borderId="22" xfId="3" applyFont="1" applyBorder="1" applyAlignment="1">
      <alignment horizontal="center" vertical="center"/>
    </xf>
    <xf numFmtId="0" fontId="20" fillId="18" borderId="22" xfId="3" applyFont="1" applyFill="1" applyBorder="1" applyAlignment="1">
      <alignment horizontal="center" vertical="center"/>
    </xf>
    <xf numFmtId="0" fontId="20" fillId="0" borderId="0" xfId="3" applyFont="1" applyAlignment="1">
      <alignment vertical="center" wrapText="1"/>
    </xf>
    <xf numFmtId="0" fontId="20" fillId="18" borderId="0" xfId="3" applyFont="1" applyFill="1" applyAlignment="1">
      <alignment vertical="center" wrapText="1"/>
    </xf>
    <xf numFmtId="179" fontId="20" fillId="0" borderId="0" xfId="3" applyNumberFormat="1" applyFont="1" applyAlignment="1">
      <alignment horizontal="center" vertical="center"/>
    </xf>
    <xf numFmtId="186" fontId="20" fillId="0" borderId="0" xfId="3" applyNumberFormat="1" applyFont="1" applyAlignment="1">
      <alignment horizontal="right" vertical="center"/>
    </xf>
    <xf numFmtId="186" fontId="20" fillId="18" borderId="0" xfId="3" applyNumberFormat="1" applyFont="1" applyFill="1" applyAlignment="1">
      <alignment horizontal="right" vertical="center"/>
    </xf>
    <xf numFmtId="179" fontId="20" fillId="0" borderId="0" xfId="3" applyNumberFormat="1" applyFont="1" applyAlignment="1">
      <alignment horizontal="right" vertical="center"/>
    </xf>
    <xf numFmtId="176" fontId="20" fillId="0" borderId="0" xfId="3" applyNumberFormat="1" applyFont="1" applyAlignment="1">
      <alignment vertical="center"/>
    </xf>
    <xf numFmtId="0" fontId="63" fillId="0" borderId="0" xfId="3" applyFont="1" applyAlignment="1">
      <alignment horizontal="right" vertical="center" wrapText="1"/>
    </xf>
    <xf numFmtId="0" fontId="63" fillId="18" borderId="0" xfId="3" applyFont="1" applyFill="1" applyAlignment="1">
      <alignment horizontal="right" vertical="center" wrapText="1"/>
    </xf>
    <xf numFmtId="188" fontId="20" fillId="0" borderId="0" xfId="3" applyNumberFormat="1" applyFont="1" applyAlignment="1">
      <alignment horizontal="left" vertical="center"/>
    </xf>
    <xf numFmtId="188" fontId="20" fillId="18" borderId="0" xfId="3" applyNumberFormat="1" applyFont="1" applyFill="1" applyAlignment="1">
      <alignment horizontal="left" vertical="center"/>
    </xf>
    <xf numFmtId="0" fontId="4" fillId="26" borderId="0" xfId="3" applyFont="1" applyFill="1" applyAlignment="1">
      <alignment vertical="center"/>
    </xf>
    <xf numFmtId="0" fontId="20" fillId="0" borderId="0" xfId="3" applyFont="1" applyAlignment="1">
      <alignment vertical="center" shrinkToFit="1"/>
    </xf>
    <xf numFmtId="0" fontId="20" fillId="18" borderId="0" xfId="3" applyFont="1" applyFill="1" applyAlignment="1">
      <alignment vertical="center" shrinkToFit="1"/>
    </xf>
    <xf numFmtId="0" fontId="75" fillId="29" borderId="0" xfId="0" applyFont="1" applyFill="1" applyAlignment="1">
      <alignment vertical="center" wrapText="1"/>
    </xf>
    <xf numFmtId="0" fontId="53" fillId="0" borderId="0" xfId="3" applyFont="1" applyAlignment="1">
      <alignment vertical="center" wrapText="1"/>
    </xf>
    <xf numFmtId="0" fontId="70" fillId="0" borderId="0" xfId="0" applyFont="1" applyAlignment="1">
      <alignment vertical="center" wrapText="1"/>
    </xf>
    <xf numFmtId="0" fontId="30" fillId="0" borderId="0" xfId="0" applyFont="1" applyAlignment="1">
      <alignment vertical="center" wrapText="1"/>
    </xf>
    <xf numFmtId="0" fontId="66" fillId="25" borderId="0" xfId="3" applyFont="1" applyFill="1" applyAlignment="1">
      <alignment vertical="center" wrapText="1"/>
    </xf>
    <xf numFmtId="0" fontId="66" fillId="0" borderId="0" xfId="3" applyFont="1" applyAlignment="1">
      <alignment vertical="center"/>
    </xf>
    <xf numFmtId="0" fontId="66" fillId="25" borderId="0" xfId="3" applyFont="1" applyFill="1" applyAlignment="1">
      <alignment vertical="center"/>
    </xf>
    <xf numFmtId="0" fontId="49" fillId="0" borderId="0" xfId="3" applyFont="1"/>
    <xf numFmtId="0" fontId="50" fillId="0" borderId="0" xfId="3" applyFont="1"/>
    <xf numFmtId="0" fontId="50" fillId="17" borderId="0" xfId="3" applyFont="1" applyFill="1"/>
    <xf numFmtId="0" fontId="43" fillId="0" borderId="0" xfId="3" applyFont="1" applyAlignment="1">
      <alignment vertical="center" wrapText="1"/>
    </xf>
    <xf numFmtId="0" fontId="39" fillId="0" borderId="0" xfId="3" applyFont="1"/>
    <xf numFmtId="0" fontId="20" fillId="0" borderId="0" xfId="3" applyFont="1" applyAlignment="1" applyProtection="1">
      <alignment horizontal="left"/>
      <protection locked="0"/>
    </xf>
    <xf numFmtId="0" fontId="20" fillId="18" borderId="0" xfId="3" applyFont="1" applyFill="1" applyAlignment="1" applyProtection="1">
      <alignment horizontal="left"/>
      <protection locked="0"/>
    </xf>
    <xf numFmtId="0" fontId="43" fillId="0" borderId="0" xfId="3" applyFont="1" applyAlignment="1">
      <alignment horizontal="left" vertical="center" wrapText="1"/>
    </xf>
    <xf numFmtId="0" fontId="43" fillId="0" borderId="0" xfId="3" applyFont="1" applyAlignment="1">
      <alignment wrapText="1"/>
    </xf>
    <xf numFmtId="0" fontId="44" fillId="0" borderId="0" xfId="3" applyFont="1" applyAlignment="1">
      <alignment wrapText="1"/>
    </xf>
    <xf numFmtId="193" fontId="28" fillId="32" borderId="0" xfId="3" applyNumberFormat="1" applyFill="1" applyAlignment="1">
      <alignment horizontal="right" vertical="center" wrapText="1"/>
    </xf>
    <xf numFmtId="193" fontId="28" fillId="27" borderId="0" xfId="3" applyNumberFormat="1" applyFill="1" applyAlignment="1">
      <alignment horizontal="right" vertical="center" wrapText="1"/>
    </xf>
    <xf numFmtId="206" fontId="28" fillId="32" borderId="0" xfId="3" applyNumberFormat="1" applyFill="1" applyAlignment="1">
      <alignment horizontal="right" vertical="center" wrapText="1"/>
    </xf>
    <xf numFmtId="206" fontId="28" fillId="27" borderId="0" xfId="3" applyNumberFormat="1" applyFill="1" applyAlignment="1">
      <alignment horizontal="right" vertical="center" wrapText="1"/>
    </xf>
    <xf numFmtId="0" fontId="28" fillId="18" borderId="0" xfId="3" applyFill="1" applyAlignment="1">
      <alignment vertical="center" wrapText="1"/>
    </xf>
    <xf numFmtId="201" fontId="28" fillId="32" borderId="0" xfId="3" applyNumberFormat="1" applyFill="1" applyAlignment="1">
      <alignment horizontal="right" vertical="center" wrapText="1"/>
    </xf>
    <xf numFmtId="201" fontId="28" fillId="27" borderId="0" xfId="3" applyNumberFormat="1" applyFill="1" applyAlignment="1">
      <alignment horizontal="right" vertical="center" wrapText="1"/>
    </xf>
    <xf numFmtId="0" fontId="70" fillId="18" borderId="0" xfId="3" applyFont="1" applyFill="1" applyAlignment="1">
      <alignment vertical="top" wrapText="1"/>
    </xf>
    <xf numFmtId="0" fontId="30" fillId="18" borderId="0" xfId="3" applyFont="1" applyFill="1" applyAlignment="1">
      <alignment vertical="center" wrapText="1"/>
    </xf>
    <xf numFmtId="0" fontId="4" fillId="21" borderId="0" xfId="0" applyFont="1" applyFill="1" applyAlignment="1">
      <alignment vertical="center"/>
    </xf>
    <xf numFmtId="0" fontId="28" fillId="0" borderId="0" xfId="0" quotePrefix="1" applyFont="1" applyAlignment="1">
      <alignment vertical="center" wrapText="1"/>
    </xf>
    <xf numFmtId="0" fontId="28" fillId="15" borderId="0" xfId="0" applyFont="1" applyFill="1" applyAlignment="1">
      <alignment vertical="center" wrapText="1"/>
    </xf>
    <xf numFmtId="1" fontId="28" fillId="0" borderId="0" xfId="0" applyNumberFormat="1" applyFont="1" applyAlignment="1">
      <alignment vertical="center" wrapText="1"/>
    </xf>
    <xf numFmtId="0" fontId="21" fillId="28" borderId="0" xfId="0" applyFont="1" applyFill="1" applyAlignment="1">
      <alignment vertical="center"/>
    </xf>
    <xf numFmtId="0" fontId="21" fillId="0" borderId="0" xfId="0" applyFont="1" applyAlignment="1">
      <alignment vertical="center"/>
    </xf>
    <xf numFmtId="0" fontId="76" fillId="0" borderId="0" xfId="0" applyFont="1" applyAlignment="1">
      <alignment vertical="top" wrapText="1"/>
    </xf>
    <xf numFmtId="0" fontId="26" fillId="0" borderId="0" xfId="0" applyFont="1" applyAlignment="1">
      <alignment vertical="top" wrapText="1"/>
    </xf>
    <xf numFmtId="0" fontId="74" fillId="0" borderId="30" xfId="0" quotePrefix="1" applyFont="1" applyBorder="1" applyAlignment="1">
      <alignment vertical="center" wrapText="1"/>
    </xf>
    <xf numFmtId="0" fontId="74" fillId="0" borderId="30" xfId="0" applyFont="1" applyBorder="1" applyAlignment="1">
      <alignment vertical="center" wrapText="1"/>
    </xf>
    <xf numFmtId="0" fontId="29" fillId="31" borderId="30" xfId="0" quotePrefix="1" applyFont="1" applyFill="1" applyBorder="1" applyAlignment="1">
      <alignment vertical="center" wrapText="1"/>
    </xf>
    <xf numFmtId="0" fontId="29" fillId="31" borderId="30" xfId="0" applyFont="1" applyFill="1" applyBorder="1" applyAlignment="1">
      <alignment vertical="center" wrapText="1"/>
    </xf>
    <xf numFmtId="0" fontId="74" fillId="0" borderId="31" xfId="0" quotePrefix="1" applyFont="1" applyBorder="1" applyAlignment="1">
      <alignment vertical="center" wrapText="1"/>
    </xf>
    <xf numFmtId="0" fontId="74" fillId="0" borderId="31" xfId="0" applyFont="1" applyBorder="1" applyAlignment="1">
      <alignment vertical="center" wrapText="1"/>
    </xf>
    <xf numFmtId="207" fontId="78" fillId="30" borderId="30" xfId="0" applyNumberFormat="1" applyFont="1" applyFill="1" applyBorder="1" applyAlignment="1">
      <alignment horizontal="left" vertical="center" wrapText="1"/>
    </xf>
    <xf numFmtId="207" fontId="75" fillId="0" borderId="30" xfId="0" applyNumberFormat="1" applyFont="1" applyBorder="1" applyAlignment="1">
      <alignment horizontal="left" vertical="center" wrapText="1"/>
    </xf>
    <xf numFmtId="0" fontId="77" fillId="30" borderId="0" xfId="0" quotePrefix="1" applyFont="1" applyFill="1" applyAlignment="1">
      <alignment vertical="center" wrapText="1"/>
    </xf>
    <xf numFmtId="0" fontId="77" fillId="30" borderId="0" xfId="0" applyFont="1" applyFill="1" applyAlignment="1">
      <alignment vertical="center" wrapText="1"/>
    </xf>
    <xf numFmtId="0" fontId="74" fillId="0" borderId="29" xfId="0" quotePrefix="1" applyFont="1" applyBorder="1" applyAlignment="1">
      <alignment vertical="center" wrapText="1"/>
    </xf>
    <xf numFmtId="0" fontId="74" fillId="0" borderId="29" xfId="0" applyFont="1" applyBorder="1" applyAlignment="1">
      <alignment vertical="center" wrapText="1"/>
    </xf>
    <xf numFmtId="0" fontId="29" fillId="31" borderId="29" xfId="0" quotePrefix="1" applyFont="1" applyFill="1" applyBorder="1" applyAlignment="1">
      <alignment vertical="center" wrapText="1"/>
    </xf>
    <xf numFmtId="0" fontId="29" fillId="31" borderId="29" xfId="0" applyFont="1" applyFill="1" applyBorder="1" applyAlignment="1">
      <alignment vertical="center" wrapText="1"/>
    </xf>
    <xf numFmtId="207" fontId="75" fillId="0" borderId="31" xfId="0" applyNumberFormat="1" applyFont="1" applyBorder="1" applyAlignment="1">
      <alignment horizontal="left" vertical="center" wrapText="1"/>
    </xf>
    <xf numFmtId="0" fontId="26" fillId="0" borderId="0" xfId="1" applyFont="1" applyAlignment="1">
      <alignment wrapText="1"/>
    </xf>
    <xf numFmtId="0" fontId="26" fillId="0" borderId="0" xfId="1" applyFont="1" applyAlignment="1">
      <alignment vertical="center" wrapText="1"/>
    </xf>
    <xf numFmtId="0" fontId="26" fillId="0" borderId="0" xfId="1" applyFont="1"/>
    <xf numFmtId="0" fontId="30" fillId="0" borderId="0" xfId="1" applyFont="1"/>
    <xf numFmtId="0" fontId="29" fillId="13" borderId="0" xfId="1" applyFont="1" applyFill="1"/>
    <xf numFmtId="179" fontId="28" fillId="0" borderId="0" xfId="1" applyNumberFormat="1" applyFont="1" applyAlignment="1">
      <alignment vertical="center"/>
    </xf>
    <xf numFmtId="179" fontId="28" fillId="15" borderId="0" xfId="1" applyNumberFormat="1" applyFont="1" applyFill="1" applyAlignment="1">
      <alignment vertical="center"/>
    </xf>
    <xf numFmtId="0" fontId="28" fillId="0" borderId="0" xfId="1" applyFont="1" applyAlignment="1">
      <alignment vertical="center" wrapText="1"/>
    </xf>
    <xf numFmtId="0" fontId="28" fillId="0" borderId="0" xfId="1" applyFont="1" applyAlignment="1">
      <alignment vertical="center"/>
    </xf>
    <xf numFmtId="0" fontId="26" fillId="19" borderId="0" xfId="1" applyFont="1" applyFill="1" applyAlignment="1">
      <alignment vertical="center"/>
    </xf>
    <xf numFmtId="0" fontId="32" fillId="0" borderId="0" xfId="1" applyFont="1" applyAlignment="1">
      <alignment vertical="center"/>
    </xf>
    <xf numFmtId="0" fontId="26" fillId="0" borderId="0" xfId="1" applyFont="1" applyAlignment="1">
      <alignment vertical="center"/>
    </xf>
    <xf numFmtId="0" fontId="21" fillId="16" borderId="0" xfId="1" applyFont="1" applyFill="1" applyAlignment="1">
      <alignment vertical="center"/>
    </xf>
    <xf numFmtId="0" fontId="26" fillId="16" borderId="0" xfId="1" applyFont="1" applyFill="1" applyAlignment="1">
      <alignment vertical="center"/>
    </xf>
    <xf numFmtId="0" fontId="22" fillId="0" borderId="0" xfId="0" applyFont="1" applyAlignment="1">
      <alignment wrapText="1"/>
    </xf>
    <xf numFmtId="0" fontId="36" fillId="0" borderId="0" xfId="2" applyFont="1" applyFill="1" applyAlignment="1">
      <alignment wrapText="1"/>
    </xf>
    <xf numFmtId="0" fontId="36" fillId="0" borderId="0" xfId="2" applyFont="1" applyAlignment="1">
      <alignment wrapText="1"/>
    </xf>
    <xf numFmtId="0" fontId="31" fillId="0" borderId="0" xfId="2"/>
    <xf numFmtId="179" fontId="28" fillId="0" borderId="0" xfId="1" applyNumberFormat="1" applyFont="1" applyAlignment="1">
      <alignment vertical="center" wrapText="1"/>
    </xf>
    <xf numFmtId="179" fontId="28" fillId="15" borderId="0" xfId="1" applyNumberFormat="1" applyFont="1" applyFill="1" applyAlignment="1">
      <alignment vertical="center" wrapText="1"/>
    </xf>
    <xf numFmtId="0" fontId="5" fillId="3" borderId="1" xfId="1" applyFont="1" applyFill="1" applyBorder="1" applyAlignment="1">
      <alignment wrapText="1"/>
    </xf>
  </cellXfs>
  <cellStyles count="5">
    <cellStyle name="Normal" xfId="1" xr:uid="{00000000-0005-0000-0000-000000000000}"/>
    <cellStyle name="常规" xfId="0" builtinId="0"/>
    <cellStyle name="常规 2" xfId="3" xr:uid="{59B149F8-8F77-4FE8-989E-75EC3880AB28}"/>
    <cellStyle name="常规 3" xfId="4" xr:uid="{6B767162-D22A-4D32-BD82-0C47A96828A5}"/>
    <cellStyle name="超链接" xfId="2" builtinId="8"/>
  </cellStyles>
  <dxfs count="90">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283C46"/>
      </font>
    </dxf>
    <dxf>
      <font>
        <color rgb="FF008000"/>
      </font>
    </dxf>
    <dxf>
      <font>
        <color rgb="FFFF9900"/>
      </font>
      <fill>
        <patternFill>
          <bgColor rgb="FFFFE699"/>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lor rgb="FF000000"/>
      </font>
    </dxf>
    <dxf>
      <font>
        <b/>
        <color rgb="FF000000"/>
      </font>
      <fill>
        <patternFill patternType="none"/>
      </fill>
    </dxf>
    <dxf>
      <font>
        <b/>
        <i val="0"/>
        <color rgb="FF000000"/>
      </font>
    </dxf>
    <dxf>
      <font>
        <b/>
        <color rgb="FF000000"/>
      </font>
      <fill>
        <patternFill patternType="none"/>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numFmt numFmtId="0" formatCode="General"/>
      <fill>
        <patternFill patternType="none">
          <fgColor indexed="64"/>
          <bgColor rgb="FFF2F2F2"/>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style="thin">
          <color rgb="FFD3D3D3"/>
        </left>
        <right/>
        <top style="thin">
          <color rgb="FFD3D3D3"/>
        </top>
        <bottom style="thin">
          <color rgb="FFD3D3D3"/>
        </bottom>
      </border>
    </dxf>
    <dxf>
      <numFmt numFmtId="1" formatCode="0"/>
      <fill>
        <patternFill patternType="solid">
          <fgColor indexed="64"/>
          <bgColor rgb="FFFFF2CC"/>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right style="thin">
          <color rgb="FFD3D3D3"/>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horizontal="lef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border outline="0">
        <top style="thin">
          <color rgb="FFD3D3D3"/>
        </top>
      </border>
    </dxf>
    <dxf>
      <border diagonalUp="0" diagonalDown="0" outline="0">
        <left style="thin">
          <color rgb="FFD3D3D3"/>
        </left>
        <right style="thin">
          <color rgb="FFD3D3D3"/>
        </right>
        <top style="thin">
          <color rgb="FFD3D3D3"/>
        </top>
        <bottom style="thin">
          <color rgb="FFD3D3D3"/>
        </bottom>
      </border>
    </dxf>
    <dxf>
      <fill>
        <patternFill patternType="solid">
          <fgColor indexed="64"/>
          <bgColor rgb="FFF2F2F2"/>
        </patternFill>
      </fill>
      <alignment vertical="center" textRotation="0" wrapText="0" indent="0" justifyLastLine="0" shrinkToFit="0" readingOrder="0"/>
    </dxf>
    <dxf>
      <border outline="0">
        <bottom style="thin">
          <color rgb="FFD3D3D3"/>
        </bottom>
      </border>
    </dxf>
    <dxf>
      <font>
        <b/>
        <color rgb="FFFFFFFF"/>
        <family val="2"/>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3D3D3"/>
        </left>
        <right style="thin">
          <color rgb="FFD3D3D3"/>
        </right>
        <top/>
        <bottom/>
      </border>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9C0006"/>
      </font>
      <fill>
        <patternFill>
          <bgColor rgb="FFFCE4D6"/>
        </patternFill>
      </fill>
    </dxf>
    <dxf>
      <font>
        <b/>
        <color rgb="FF006100"/>
      </font>
      <fill>
        <patternFill>
          <bgColor rgb="FFE2F0D9"/>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color rgb="FFAA5023"/>
      </font>
    </dxf>
    <dxf>
      <font>
        <color rgb="FFAA5023"/>
      </font>
    </dxf>
    <dxf>
      <font>
        <color rgb="FFAA5023"/>
      </font>
    </dxf>
    <dxf>
      <font>
        <color rgb="FFAA5023"/>
      </font>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'_TB Analysis'!$AA$329</c:f>
              <c:strCache>
                <c:ptCount val="1"/>
              </c:strCache>
            </c:strRef>
          </c:tx>
          <c:spPr>
            <a:ln w="12700">
              <a:solidFill>
                <a:srgbClr val="000000"/>
              </a:solidFill>
            </a:ln>
          </c:spPr>
          <c:marker>
            <c:symbol val="none"/>
          </c:marker>
          <c:xVal>
            <c:numRef>
              <c:f>'_TB Analysis'!$AB$329:$AC$329</c:f>
              <c:numCache>
                <c:formatCode>General</c:formatCode>
                <c:ptCount val="2"/>
                <c:pt idx="0">
                  <c:v>#N/A</c:v>
                </c:pt>
                <c:pt idx="1">
                  <c:v>#N/A</c:v>
                </c:pt>
              </c:numCache>
            </c:numRef>
          </c:xVal>
          <c:yVal>
            <c:numRef>
              <c:f>'_TB Analysis'!$AD$329:$AE$329</c:f>
              <c:numCache>
                <c:formatCode>General</c:formatCode>
                <c:ptCount val="2"/>
                <c:pt idx="0">
                  <c:v>#N/A</c:v>
                </c:pt>
                <c:pt idx="1">
                  <c:v>#N/A</c:v>
                </c:pt>
              </c:numCache>
            </c:numRef>
          </c:yVal>
          <c:smooth val="0"/>
          <c:extLst>
            <c:ext xmlns:c16="http://schemas.microsoft.com/office/drawing/2014/chart" uri="{C3380CC4-5D6E-409C-BE32-E72D297353CC}">
              <c16:uniqueId val="{00000091-D99C-4AF6-89E7-DC5FF432C6FE}"/>
            </c:ext>
          </c:extLst>
        </c:ser>
        <c:ser>
          <c:idx val="119"/>
          <c:order val="1"/>
          <c:tx>
            <c:strRef>
              <c:f>'_TB Analysis'!$AA$328</c:f>
              <c:strCache>
                <c:ptCount val="1"/>
              </c:strCache>
            </c:strRef>
          </c:tx>
          <c:spPr>
            <a:ln w="12700">
              <a:solidFill>
                <a:srgbClr val="000000"/>
              </a:solidFill>
            </a:ln>
          </c:spPr>
          <c:marker>
            <c:symbol val="none"/>
          </c:marker>
          <c:xVal>
            <c:numRef>
              <c:f>'_TB Analysis'!$AB$328:$AC$328</c:f>
              <c:numCache>
                <c:formatCode>General</c:formatCode>
                <c:ptCount val="2"/>
                <c:pt idx="0">
                  <c:v>#N/A</c:v>
                </c:pt>
                <c:pt idx="1">
                  <c:v>#N/A</c:v>
                </c:pt>
              </c:numCache>
            </c:numRef>
          </c:xVal>
          <c:yVal>
            <c:numRef>
              <c:f>'_TB Analysis'!$AD$328:$AE$328</c:f>
              <c:numCache>
                <c:formatCode>General</c:formatCode>
                <c:ptCount val="2"/>
                <c:pt idx="0">
                  <c:v>#N/A</c:v>
                </c:pt>
                <c:pt idx="1">
                  <c:v>#N/A</c:v>
                </c:pt>
              </c:numCache>
            </c:numRef>
          </c:yVal>
          <c:smooth val="0"/>
          <c:extLst>
            <c:ext xmlns:c16="http://schemas.microsoft.com/office/drawing/2014/chart" uri="{C3380CC4-5D6E-409C-BE32-E72D297353CC}">
              <c16:uniqueId val="{00000090-D99C-4AF6-89E7-DC5FF432C6FE}"/>
            </c:ext>
          </c:extLst>
        </c:ser>
        <c:ser>
          <c:idx val="118"/>
          <c:order val="2"/>
          <c:tx>
            <c:strRef>
              <c:f>'_TB Analysis'!$AA$327</c:f>
              <c:strCache>
                <c:ptCount val="1"/>
              </c:strCache>
            </c:strRef>
          </c:tx>
          <c:spPr>
            <a:ln w="12700">
              <a:solidFill>
                <a:srgbClr val="000000"/>
              </a:solidFill>
            </a:ln>
          </c:spPr>
          <c:marker>
            <c:symbol val="none"/>
          </c:marker>
          <c:xVal>
            <c:numRef>
              <c:f>'_TB Analysis'!$AB$327:$AC$327</c:f>
              <c:numCache>
                <c:formatCode>General</c:formatCode>
                <c:ptCount val="2"/>
                <c:pt idx="0">
                  <c:v>#N/A</c:v>
                </c:pt>
                <c:pt idx="1">
                  <c:v>#N/A</c:v>
                </c:pt>
              </c:numCache>
            </c:numRef>
          </c:xVal>
          <c:yVal>
            <c:numRef>
              <c:f>'_TB Analysis'!$AD$327:$AE$327</c:f>
              <c:numCache>
                <c:formatCode>General</c:formatCode>
                <c:ptCount val="2"/>
                <c:pt idx="0">
                  <c:v>#N/A</c:v>
                </c:pt>
                <c:pt idx="1">
                  <c:v>#N/A</c:v>
                </c:pt>
              </c:numCache>
            </c:numRef>
          </c:yVal>
          <c:smooth val="0"/>
          <c:extLst>
            <c:ext xmlns:c16="http://schemas.microsoft.com/office/drawing/2014/chart" uri="{C3380CC4-5D6E-409C-BE32-E72D297353CC}">
              <c16:uniqueId val="{0000008F-D99C-4AF6-89E7-DC5FF432C6FE}"/>
            </c:ext>
          </c:extLst>
        </c:ser>
        <c:ser>
          <c:idx val="117"/>
          <c:order val="3"/>
          <c:tx>
            <c:strRef>
              <c:f>'_TB Analysis'!$AA$326</c:f>
              <c:strCache>
                <c:ptCount val="1"/>
              </c:strCache>
            </c:strRef>
          </c:tx>
          <c:spPr>
            <a:ln w="12700">
              <a:solidFill>
                <a:srgbClr val="000000"/>
              </a:solidFill>
            </a:ln>
          </c:spPr>
          <c:marker>
            <c:symbol val="none"/>
          </c:marker>
          <c:xVal>
            <c:numRef>
              <c:f>'_TB Analysis'!$AB$326:$AC$326</c:f>
              <c:numCache>
                <c:formatCode>General</c:formatCode>
                <c:ptCount val="2"/>
                <c:pt idx="0">
                  <c:v>#N/A</c:v>
                </c:pt>
                <c:pt idx="1">
                  <c:v>#N/A</c:v>
                </c:pt>
              </c:numCache>
            </c:numRef>
          </c:xVal>
          <c:yVal>
            <c:numRef>
              <c:f>'_TB Analysis'!$AD$326:$AE$326</c:f>
              <c:numCache>
                <c:formatCode>General</c:formatCode>
                <c:ptCount val="2"/>
                <c:pt idx="0">
                  <c:v>#N/A</c:v>
                </c:pt>
                <c:pt idx="1">
                  <c:v>#N/A</c:v>
                </c:pt>
              </c:numCache>
            </c:numRef>
          </c:yVal>
          <c:smooth val="0"/>
          <c:extLst>
            <c:ext xmlns:c16="http://schemas.microsoft.com/office/drawing/2014/chart" uri="{C3380CC4-5D6E-409C-BE32-E72D297353CC}">
              <c16:uniqueId val="{0000008E-D99C-4AF6-89E7-DC5FF432C6FE}"/>
            </c:ext>
          </c:extLst>
        </c:ser>
        <c:ser>
          <c:idx val="116"/>
          <c:order val="4"/>
          <c:tx>
            <c:strRef>
              <c:f>'_TB Analysis'!$AA$325</c:f>
              <c:strCache>
                <c:ptCount val="1"/>
              </c:strCache>
            </c:strRef>
          </c:tx>
          <c:spPr>
            <a:ln w="12700">
              <a:solidFill>
                <a:srgbClr val="000000"/>
              </a:solidFill>
            </a:ln>
          </c:spPr>
          <c:marker>
            <c:symbol val="none"/>
          </c:marker>
          <c:xVal>
            <c:numRef>
              <c:f>'_TB Analysis'!$AB$325:$AC$325</c:f>
              <c:numCache>
                <c:formatCode>General</c:formatCode>
                <c:ptCount val="2"/>
                <c:pt idx="0">
                  <c:v>#N/A</c:v>
                </c:pt>
                <c:pt idx="1">
                  <c:v>#N/A</c:v>
                </c:pt>
              </c:numCache>
            </c:numRef>
          </c:xVal>
          <c:yVal>
            <c:numRef>
              <c:f>'_TB Analysis'!$AD$325:$AE$325</c:f>
              <c:numCache>
                <c:formatCode>General</c:formatCode>
                <c:ptCount val="2"/>
                <c:pt idx="0">
                  <c:v>#N/A</c:v>
                </c:pt>
                <c:pt idx="1">
                  <c:v>#N/A</c:v>
                </c:pt>
              </c:numCache>
            </c:numRef>
          </c:yVal>
          <c:smooth val="0"/>
          <c:extLst>
            <c:ext xmlns:c16="http://schemas.microsoft.com/office/drawing/2014/chart" uri="{C3380CC4-5D6E-409C-BE32-E72D297353CC}">
              <c16:uniqueId val="{0000008D-D99C-4AF6-89E7-DC5FF432C6FE}"/>
            </c:ext>
          </c:extLst>
        </c:ser>
        <c:ser>
          <c:idx val="115"/>
          <c:order val="5"/>
          <c:tx>
            <c:strRef>
              <c:f>'_TB Analysis'!$AA$324</c:f>
              <c:strCache>
                <c:ptCount val="1"/>
              </c:strCache>
            </c:strRef>
          </c:tx>
          <c:spPr>
            <a:ln w="12700">
              <a:solidFill>
                <a:srgbClr val="000000"/>
              </a:solidFill>
            </a:ln>
          </c:spPr>
          <c:marker>
            <c:symbol val="none"/>
          </c:marker>
          <c:xVal>
            <c:numRef>
              <c:f>'_TB Analysis'!$AB$324:$AC$324</c:f>
              <c:numCache>
                <c:formatCode>General</c:formatCode>
                <c:ptCount val="2"/>
                <c:pt idx="0">
                  <c:v>#N/A</c:v>
                </c:pt>
                <c:pt idx="1">
                  <c:v>#N/A</c:v>
                </c:pt>
              </c:numCache>
            </c:numRef>
          </c:xVal>
          <c:yVal>
            <c:numRef>
              <c:f>'_TB Analysis'!$AD$324:$AE$324</c:f>
              <c:numCache>
                <c:formatCode>General</c:formatCode>
                <c:ptCount val="2"/>
                <c:pt idx="0">
                  <c:v>#N/A</c:v>
                </c:pt>
                <c:pt idx="1">
                  <c:v>#N/A</c:v>
                </c:pt>
              </c:numCache>
            </c:numRef>
          </c:yVal>
          <c:smooth val="0"/>
          <c:extLst>
            <c:ext xmlns:c16="http://schemas.microsoft.com/office/drawing/2014/chart" uri="{C3380CC4-5D6E-409C-BE32-E72D297353CC}">
              <c16:uniqueId val="{0000008C-D99C-4AF6-89E7-DC5FF432C6FE}"/>
            </c:ext>
          </c:extLst>
        </c:ser>
        <c:ser>
          <c:idx val="114"/>
          <c:order val="6"/>
          <c:tx>
            <c:strRef>
              <c:f>'_TB Analysis'!$AA$323</c:f>
              <c:strCache>
                <c:ptCount val="1"/>
              </c:strCache>
            </c:strRef>
          </c:tx>
          <c:spPr>
            <a:ln w="12700">
              <a:solidFill>
                <a:srgbClr val="000000"/>
              </a:solidFill>
            </a:ln>
          </c:spPr>
          <c:marker>
            <c:symbol val="none"/>
          </c:marker>
          <c:xVal>
            <c:numRef>
              <c:f>'_TB Analysis'!$AB$323:$AC$323</c:f>
              <c:numCache>
                <c:formatCode>General</c:formatCode>
                <c:ptCount val="2"/>
                <c:pt idx="0">
                  <c:v>#N/A</c:v>
                </c:pt>
                <c:pt idx="1">
                  <c:v>#N/A</c:v>
                </c:pt>
              </c:numCache>
            </c:numRef>
          </c:xVal>
          <c:yVal>
            <c:numRef>
              <c:f>'_TB Analysis'!$AD$323:$AE$323</c:f>
              <c:numCache>
                <c:formatCode>General</c:formatCode>
                <c:ptCount val="2"/>
                <c:pt idx="0">
                  <c:v>#N/A</c:v>
                </c:pt>
                <c:pt idx="1">
                  <c:v>#N/A</c:v>
                </c:pt>
              </c:numCache>
            </c:numRef>
          </c:yVal>
          <c:smooth val="0"/>
          <c:extLst>
            <c:ext xmlns:c16="http://schemas.microsoft.com/office/drawing/2014/chart" uri="{C3380CC4-5D6E-409C-BE32-E72D297353CC}">
              <c16:uniqueId val="{0000008B-D99C-4AF6-89E7-DC5FF432C6FE}"/>
            </c:ext>
          </c:extLst>
        </c:ser>
        <c:ser>
          <c:idx val="113"/>
          <c:order val="7"/>
          <c:tx>
            <c:strRef>
              <c:f>'_TB Analysis'!$AA$322</c:f>
              <c:strCache>
                <c:ptCount val="1"/>
              </c:strCache>
            </c:strRef>
          </c:tx>
          <c:spPr>
            <a:ln w="12700">
              <a:solidFill>
                <a:srgbClr val="000000"/>
              </a:solidFill>
            </a:ln>
          </c:spPr>
          <c:marker>
            <c:symbol val="none"/>
          </c:marker>
          <c:xVal>
            <c:numRef>
              <c:f>'_TB Analysis'!$AB$322:$AC$322</c:f>
              <c:numCache>
                <c:formatCode>General</c:formatCode>
                <c:ptCount val="2"/>
                <c:pt idx="0">
                  <c:v>#N/A</c:v>
                </c:pt>
                <c:pt idx="1">
                  <c:v>#N/A</c:v>
                </c:pt>
              </c:numCache>
            </c:numRef>
          </c:xVal>
          <c:yVal>
            <c:numRef>
              <c:f>'_TB Analysis'!$AD$322:$AE$322</c:f>
              <c:numCache>
                <c:formatCode>General</c:formatCode>
                <c:ptCount val="2"/>
                <c:pt idx="0">
                  <c:v>#N/A</c:v>
                </c:pt>
                <c:pt idx="1">
                  <c:v>#N/A</c:v>
                </c:pt>
              </c:numCache>
            </c:numRef>
          </c:yVal>
          <c:smooth val="0"/>
          <c:extLst>
            <c:ext xmlns:c16="http://schemas.microsoft.com/office/drawing/2014/chart" uri="{C3380CC4-5D6E-409C-BE32-E72D297353CC}">
              <c16:uniqueId val="{0000008A-D99C-4AF6-89E7-DC5FF432C6FE}"/>
            </c:ext>
          </c:extLst>
        </c:ser>
        <c:ser>
          <c:idx val="112"/>
          <c:order val="8"/>
          <c:tx>
            <c:strRef>
              <c:f>'_TB Analysis'!$AA$321</c:f>
              <c:strCache>
                <c:ptCount val="1"/>
              </c:strCache>
            </c:strRef>
          </c:tx>
          <c:spPr>
            <a:ln w="12700">
              <a:solidFill>
                <a:srgbClr val="000000"/>
              </a:solidFill>
            </a:ln>
          </c:spPr>
          <c:marker>
            <c:symbol val="none"/>
          </c:marker>
          <c:xVal>
            <c:numRef>
              <c:f>'_TB Analysis'!$AB$321:$AC$321</c:f>
              <c:numCache>
                <c:formatCode>General</c:formatCode>
                <c:ptCount val="2"/>
                <c:pt idx="0">
                  <c:v>#N/A</c:v>
                </c:pt>
                <c:pt idx="1">
                  <c:v>#N/A</c:v>
                </c:pt>
              </c:numCache>
            </c:numRef>
          </c:xVal>
          <c:yVal>
            <c:numRef>
              <c:f>'_TB Analysis'!$AD$321:$AE$321</c:f>
              <c:numCache>
                <c:formatCode>General</c:formatCode>
                <c:ptCount val="2"/>
                <c:pt idx="0">
                  <c:v>#N/A</c:v>
                </c:pt>
                <c:pt idx="1">
                  <c:v>#N/A</c:v>
                </c:pt>
              </c:numCache>
            </c:numRef>
          </c:yVal>
          <c:smooth val="0"/>
          <c:extLst>
            <c:ext xmlns:c16="http://schemas.microsoft.com/office/drawing/2014/chart" uri="{C3380CC4-5D6E-409C-BE32-E72D297353CC}">
              <c16:uniqueId val="{00000089-D99C-4AF6-89E7-DC5FF432C6FE}"/>
            </c:ext>
          </c:extLst>
        </c:ser>
        <c:ser>
          <c:idx val="111"/>
          <c:order val="9"/>
          <c:tx>
            <c:strRef>
              <c:f>'_TB Analysis'!$AA$320</c:f>
              <c:strCache>
                <c:ptCount val="1"/>
              </c:strCache>
            </c:strRef>
          </c:tx>
          <c:spPr>
            <a:ln w="12700">
              <a:solidFill>
                <a:srgbClr val="000000"/>
              </a:solidFill>
            </a:ln>
          </c:spPr>
          <c:marker>
            <c:symbol val="none"/>
          </c:marker>
          <c:xVal>
            <c:numRef>
              <c:f>'_TB Analysis'!$AB$320:$AC$320</c:f>
              <c:numCache>
                <c:formatCode>General</c:formatCode>
                <c:ptCount val="2"/>
                <c:pt idx="0">
                  <c:v>#N/A</c:v>
                </c:pt>
                <c:pt idx="1">
                  <c:v>#N/A</c:v>
                </c:pt>
              </c:numCache>
            </c:numRef>
          </c:xVal>
          <c:yVal>
            <c:numRef>
              <c:f>'_TB Analysis'!$AD$320:$AE$320</c:f>
              <c:numCache>
                <c:formatCode>General</c:formatCode>
                <c:ptCount val="2"/>
                <c:pt idx="0">
                  <c:v>#N/A</c:v>
                </c:pt>
                <c:pt idx="1">
                  <c:v>#N/A</c:v>
                </c:pt>
              </c:numCache>
            </c:numRef>
          </c:yVal>
          <c:smooth val="0"/>
          <c:extLst>
            <c:ext xmlns:c16="http://schemas.microsoft.com/office/drawing/2014/chart" uri="{C3380CC4-5D6E-409C-BE32-E72D297353CC}">
              <c16:uniqueId val="{00000088-D99C-4AF6-89E7-DC5FF432C6FE}"/>
            </c:ext>
          </c:extLst>
        </c:ser>
        <c:ser>
          <c:idx val="110"/>
          <c:order val="10"/>
          <c:tx>
            <c:strRef>
              <c:f>'_TB Analysis'!$AA$319</c:f>
              <c:strCache>
                <c:ptCount val="1"/>
              </c:strCache>
            </c:strRef>
          </c:tx>
          <c:spPr>
            <a:ln w="12700">
              <a:solidFill>
                <a:srgbClr val="000000"/>
              </a:solidFill>
            </a:ln>
          </c:spPr>
          <c:marker>
            <c:symbol val="none"/>
          </c:marker>
          <c:xVal>
            <c:numRef>
              <c:f>'_TB Analysis'!$AB$319:$AC$319</c:f>
              <c:numCache>
                <c:formatCode>General</c:formatCode>
                <c:ptCount val="2"/>
                <c:pt idx="0">
                  <c:v>#N/A</c:v>
                </c:pt>
                <c:pt idx="1">
                  <c:v>#N/A</c:v>
                </c:pt>
              </c:numCache>
            </c:numRef>
          </c:xVal>
          <c:yVal>
            <c:numRef>
              <c:f>'_TB Analysis'!$AD$319:$AE$319</c:f>
              <c:numCache>
                <c:formatCode>General</c:formatCode>
                <c:ptCount val="2"/>
                <c:pt idx="0">
                  <c:v>#N/A</c:v>
                </c:pt>
                <c:pt idx="1">
                  <c:v>#N/A</c:v>
                </c:pt>
              </c:numCache>
            </c:numRef>
          </c:yVal>
          <c:smooth val="0"/>
          <c:extLst>
            <c:ext xmlns:c16="http://schemas.microsoft.com/office/drawing/2014/chart" uri="{C3380CC4-5D6E-409C-BE32-E72D297353CC}">
              <c16:uniqueId val="{00000087-D99C-4AF6-89E7-DC5FF432C6FE}"/>
            </c:ext>
          </c:extLst>
        </c:ser>
        <c:ser>
          <c:idx val="109"/>
          <c:order val="11"/>
          <c:tx>
            <c:strRef>
              <c:f>'_TB Analysis'!$AA$318</c:f>
              <c:strCache>
                <c:ptCount val="1"/>
              </c:strCache>
            </c:strRef>
          </c:tx>
          <c:spPr>
            <a:ln w="12700">
              <a:solidFill>
                <a:srgbClr val="000000"/>
              </a:solidFill>
            </a:ln>
          </c:spPr>
          <c:marker>
            <c:symbol val="none"/>
          </c:marker>
          <c:xVal>
            <c:numRef>
              <c:f>'_TB Analysis'!$AB$318:$AC$318</c:f>
              <c:numCache>
                <c:formatCode>General</c:formatCode>
                <c:ptCount val="2"/>
                <c:pt idx="0">
                  <c:v>#N/A</c:v>
                </c:pt>
                <c:pt idx="1">
                  <c:v>#N/A</c:v>
                </c:pt>
              </c:numCache>
            </c:numRef>
          </c:xVal>
          <c:yVal>
            <c:numRef>
              <c:f>'_TB Analysis'!$AD$318:$AE$318</c:f>
              <c:numCache>
                <c:formatCode>General</c:formatCode>
                <c:ptCount val="2"/>
                <c:pt idx="0">
                  <c:v>#N/A</c:v>
                </c:pt>
                <c:pt idx="1">
                  <c:v>#N/A</c:v>
                </c:pt>
              </c:numCache>
            </c:numRef>
          </c:yVal>
          <c:smooth val="0"/>
          <c:extLst>
            <c:ext xmlns:c16="http://schemas.microsoft.com/office/drawing/2014/chart" uri="{C3380CC4-5D6E-409C-BE32-E72D297353CC}">
              <c16:uniqueId val="{00000086-D99C-4AF6-89E7-DC5FF432C6FE}"/>
            </c:ext>
          </c:extLst>
        </c:ser>
        <c:ser>
          <c:idx val="108"/>
          <c:order val="12"/>
          <c:tx>
            <c:strRef>
              <c:f>'_TB Analysis'!$AA$317</c:f>
              <c:strCache>
                <c:ptCount val="1"/>
              </c:strCache>
            </c:strRef>
          </c:tx>
          <c:spPr>
            <a:ln w="12700">
              <a:solidFill>
                <a:srgbClr val="000000"/>
              </a:solidFill>
            </a:ln>
          </c:spPr>
          <c:marker>
            <c:symbol val="none"/>
          </c:marker>
          <c:xVal>
            <c:numRef>
              <c:f>'_TB Analysis'!$AB$317:$AC$317</c:f>
              <c:numCache>
                <c:formatCode>General</c:formatCode>
                <c:ptCount val="2"/>
                <c:pt idx="0">
                  <c:v>#N/A</c:v>
                </c:pt>
                <c:pt idx="1">
                  <c:v>#N/A</c:v>
                </c:pt>
              </c:numCache>
            </c:numRef>
          </c:xVal>
          <c:yVal>
            <c:numRef>
              <c:f>'_TB Analysis'!$AD$317:$AE$317</c:f>
              <c:numCache>
                <c:formatCode>General</c:formatCode>
                <c:ptCount val="2"/>
                <c:pt idx="0">
                  <c:v>#N/A</c:v>
                </c:pt>
                <c:pt idx="1">
                  <c:v>#N/A</c:v>
                </c:pt>
              </c:numCache>
            </c:numRef>
          </c:yVal>
          <c:smooth val="0"/>
          <c:extLst>
            <c:ext xmlns:c16="http://schemas.microsoft.com/office/drawing/2014/chart" uri="{C3380CC4-5D6E-409C-BE32-E72D297353CC}">
              <c16:uniqueId val="{00000085-D99C-4AF6-89E7-DC5FF432C6FE}"/>
            </c:ext>
          </c:extLst>
        </c:ser>
        <c:ser>
          <c:idx val="107"/>
          <c:order val="13"/>
          <c:tx>
            <c:strRef>
              <c:f>'_TB Analysis'!$AA$316</c:f>
              <c:strCache>
                <c:ptCount val="1"/>
              </c:strCache>
            </c:strRef>
          </c:tx>
          <c:spPr>
            <a:ln w="12700">
              <a:solidFill>
                <a:srgbClr val="000000"/>
              </a:solidFill>
            </a:ln>
          </c:spPr>
          <c:marker>
            <c:symbol val="none"/>
          </c:marker>
          <c:xVal>
            <c:numRef>
              <c:f>'_TB Analysis'!$AB$316:$AC$316</c:f>
              <c:numCache>
                <c:formatCode>General</c:formatCode>
                <c:ptCount val="2"/>
                <c:pt idx="0">
                  <c:v>#N/A</c:v>
                </c:pt>
                <c:pt idx="1">
                  <c:v>#N/A</c:v>
                </c:pt>
              </c:numCache>
            </c:numRef>
          </c:xVal>
          <c:yVal>
            <c:numRef>
              <c:f>'_TB Analysis'!$AD$316:$AE$316</c:f>
              <c:numCache>
                <c:formatCode>General</c:formatCode>
                <c:ptCount val="2"/>
                <c:pt idx="0">
                  <c:v>#N/A</c:v>
                </c:pt>
                <c:pt idx="1">
                  <c:v>#N/A</c:v>
                </c:pt>
              </c:numCache>
            </c:numRef>
          </c:yVal>
          <c:smooth val="0"/>
          <c:extLst>
            <c:ext xmlns:c16="http://schemas.microsoft.com/office/drawing/2014/chart" uri="{C3380CC4-5D6E-409C-BE32-E72D297353CC}">
              <c16:uniqueId val="{00000084-D99C-4AF6-89E7-DC5FF432C6FE}"/>
            </c:ext>
          </c:extLst>
        </c:ser>
        <c:ser>
          <c:idx val="106"/>
          <c:order val="14"/>
          <c:tx>
            <c:strRef>
              <c:f>'_TB Analysis'!$AA$315</c:f>
              <c:strCache>
                <c:ptCount val="1"/>
              </c:strCache>
            </c:strRef>
          </c:tx>
          <c:spPr>
            <a:ln w="12700">
              <a:solidFill>
                <a:srgbClr val="000000"/>
              </a:solidFill>
            </a:ln>
          </c:spPr>
          <c:marker>
            <c:symbol val="none"/>
          </c:marker>
          <c:xVal>
            <c:numRef>
              <c:f>'_TB Analysis'!$AB$315:$AC$315</c:f>
              <c:numCache>
                <c:formatCode>General</c:formatCode>
                <c:ptCount val="2"/>
                <c:pt idx="0">
                  <c:v>#N/A</c:v>
                </c:pt>
                <c:pt idx="1">
                  <c:v>#N/A</c:v>
                </c:pt>
              </c:numCache>
            </c:numRef>
          </c:xVal>
          <c:yVal>
            <c:numRef>
              <c:f>'_TB Analysis'!$AD$315:$AE$315</c:f>
              <c:numCache>
                <c:formatCode>General</c:formatCode>
                <c:ptCount val="2"/>
                <c:pt idx="0">
                  <c:v>#N/A</c:v>
                </c:pt>
                <c:pt idx="1">
                  <c:v>#N/A</c:v>
                </c:pt>
              </c:numCache>
            </c:numRef>
          </c:yVal>
          <c:smooth val="0"/>
          <c:extLst>
            <c:ext xmlns:c16="http://schemas.microsoft.com/office/drawing/2014/chart" uri="{C3380CC4-5D6E-409C-BE32-E72D297353CC}">
              <c16:uniqueId val="{00000083-D99C-4AF6-89E7-DC5FF432C6FE}"/>
            </c:ext>
          </c:extLst>
        </c:ser>
        <c:ser>
          <c:idx val="105"/>
          <c:order val="15"/>
          <c:tx>
            <c:strRef>
              <c:f>'_TB Analysis'!$AA$314</c:f>
              <c:strCache>
                <c:ptCount val="1"/>
              </c:strCache>
            </c:strRef>
          </c:tx>
          <c:spPr>
            <a:ln w="12700">
              <a:solidFill>
                <a:srgbClr val="000000"/>
              </a:solidFill>
            </a:ln>
          </c:spPr>
          <c:marker>
            <c:symbol val="none"/>
          </c:marker>
          <c:xVal>
            <c:numRef>
              <c:f>'_TB Analysis'!$AB$314:$AC$314</c:f>
              <c:numCache>
                <c:formatCode>General</c:formatCode>
                <c:ptCount val="2"/>
                <c:pt idx="0">
                  <c:v>#N/A</c:v>
                </c:pt>
                <c:pt idx="1">
                  <c:v>#N/A</c:v>
                </c:pt>
              </c:numCache>
            </c:numRef>
          </c:xVal>
          <c:yVal>
            <c:numRef>
              <c:f>'_TB Analysis'!$AD$314:$AE$314</c:f>
              <c:numCache>
                <c:formatCode>General</c:formatCode>
                <c:ptCount val="2"/>
                <c:pt idx="0">
                  <c:v>#N/A</c:v>
                </c:pt>
                <c:pt idx="1">
                  <c:v>#N/A</c:v>
                </c:pt>
              </c:numCache>
            </c:numRef>
          </c:yVal>
          <c:smooth val="0"/>
          <c:extLst>
            <c:ext xmlns:c16="http://schemas.microsoft.com/office/drawing/2014/chart" uri="{C3380CC4-5D6E-409C-BE32-E72D297353CC}">
              <c16:uniqueId val="{00000082-D99C-4AF6-89E7-DC5FF432C6FE}"/>
            </c:ext>
          </c:extLst>
        </c:ser>
        <c:ser>
          <c:idx val="104"/>
          <c:order val="16"/>
          <c:tx>
            <c:strRef>
              <c:f>'_TB Analysis'!$AA$313</c:f>
              <c:strCache>
                <c:ptCount val="1"/>
              </c:strCache>
            </c:strRef>
          </c:tx>
          <c:spPr>
            <a:ln w="12700">
              <a:solidFill>
                <a:srgbClr val="000000"/>
              </a:solidFill>
            </a:ln>
          </c:spPr>
          <c:marker>
            <c:symbol val="none"/>
          </c:marker>
          <c:xVal>
            <c:numRef>
              <c:f>'_TB Analysis'!$AB$313:$AC$313</c:f>
              <c:numCache>
                <c:formatCode>General</c:formatCode>
                <c:ptCount val="2"/>
                <c:pt idx="0">
                  <c:v>#N/A</c:v>
                </c:pt>
                <c:pt idx="1">
                  <c:v>#N/A</c:v>
                </c:pt>
              </c:numCache>
            </c:numRef>
          </c:xVal>
          <c:yVal>
            <c:numRef>
              <c:f>'_TB Analysis'!$AD$313:$AE$313</c:f>
              <c:numCache>
                <c:formatCode>General</c:formatCode>
                <c:ptCount val="2"/>
                <c:pt idx="0">
                  <c:v>#N/A</c:v>
                </c:pt>
                <c:pt idx="1">
                  <c:v>#N/A</c:v>
                </c:pt>
              </c:numCache>
            </c:numRef>
          </c:yVal>
          <c:smooth val="0"/>
          <c:extLst>
            <c:ext xmlns:c16="http://schemas.microsoft.com/office/drawing/2014/chart" uri="{C3380CC4-5D6E-409C-BE32-E72D297353CC}">
              <c16:uniqueId val="{00000081-D99C-4AF6-89E7-DC5FF432C6FE}"/>
            </c:ext>
          </c:extLst>
        </c:ser>
        <c:ser>
          <c:idx val="103"/>
          <c:order val="17"/>
          <c:tx>
            <c:strRef>
              <c:f>'_TB Analysis'!$AA$312</c:f>
              <c:strCache>
                <c:ptCount val="1"/>
              </c:strCache>
            </c:strRef>
          </c:tx>
          <c:spPr>
            <a:ln w="12700">
              <a:solidFill>
                <a:srgbClr val="000000"/>
              </a:solidFill>
            </a:ln>
          </c:spPr>
          <c:marker>
            <c:symbol val="none"/>
          </c:marker>
          <c:xVal>
            <c:numRef>
              <c:f>'_TB Analysis'!$AB$312:$AC$312</c:f>
              <c:numCache>
                <c:formatCode>General</c:formatCode>
                <c:ptCount val="2"/>
                <c:pt idx="0">
                  <c:v>#N/A</c:v>
                </c:pt>
                <c:pt idx="1">
                  <c:v>#N/A</c:v>
                </c:pt>
              </c:numCache>
            </c:numRef>
          </c:xVal>
          <c:yVal>
            <c:numRef>
              <c:f>'_TB Analysis'!$AD$312:$AE$312</c:f>
              <c:numCache>
                <c:formatCode>General</c:formatCode>
                <c:ptCount val="2"/>
                <c:pt idx="0">
                  <c:v>#N/A</c:v>
                </c:pt>
                <c:pt idx="1">
                  <c:v>#N/A</c:v>
                </c:pt>
              </c:numCache>
            </c:numRef>
          </c:yVal>
          <c:smooth val="0"/>
          <c:extLst>
            <c:ext xmlns:c16="http://schemas.microsoft.com/office/drawing/2014/chart" uri="{C3380CC4-5D6E-409C-BE32-E72D297353CC}">
              <c16:uniqueId val="{00000080-D99C-4AF6-89E7-DC5FF432C6FE}"/>
            </c:ext>
          </c:extLst>
        </c:ser>
        <c:ser>
          <c:idx val="102"/>
          <c:order val="18"/>
          <c:tx>
            <c:strRef>
              <c:f>'_TB Analysis'!$AA$311</c:f>
              <c:strCache>
                <c:ptCount val="1"/>
              </c:strCache>
            </c:strRef>
          </c:tx>
          <c:spPr>
            <a:ln w="12700">
              <a:solidFill>
                <a:srgbClr val="000000"/>
              </a:solidFill>
            </a:ln>
          </c:spPr>
          <c:marker>
            <c:symbol val="none"/>
          </c:marker>
          <c:xVal>
            <c:numRef>
              <c:f>'_TB Analysis'!$AB$311:$AC$311</c:f>
              <c:numCache>
                <c:formatCode>General</c:formatCode>
                <c:ptCount val="2"/>
                <c:pt idx="0">
                  <c:v>#N/A</c:v>
                </c:pt>
                <c:pt idx="1">
                  <c:v>#N/A</c:v>
                </c:pt>
              </c:numCache>
            </c:numRef>
          </c:xVal>
          <c:yVal>
            <c:numRef>
              <c:f>'_TB Analysis'!$AD$311:$AE$311</c:f>
              <c:numCache>
                <c:formatCode>General</c:formatCode>
                <c:ptCount val="2"/>
                <c:pt idx="0">
                  <c:v>#N/A</c:v>
                </c:pt>
                <c:pt idx="1">
                  <c:v>#N/A</c:v>
                </c:pt>
              </c:numCache>
            </c:numRef>
          </c:yVal>
          <c:smooth val="0"/>
          <c:extLst>
            <c:ext xmlns:c16="http://schemas.microsoft.com/office/drawing/2014/chart" uri="{C3380CC4-5D6E-409C-BE32-E72D297353CC}">
              <c16:uniqueId val="{0000007F-D99C-4AF6-89E7-DC5FF432C6FE}"/>
            </c:ext>
          </c:extLst>
        </c:ser>
        <c:ser>
          <c:idx val="101"/>
          <c:order val="19"/>
          <c:tx>
            <c:strRef>
              <c:f>'_TB Analysis'!$AA$310</c:f>
              <c:strCache>
                <c:ptCount val="1"/>
              </c:strCache>
            </c:strRef>
          </c:tx>
          <c:spPr>
            <a:ln w="12700">
              <a:solidFill>
                <a:srgbClr val="000000"/>
              </a:solidFill>
            </a:ln>
          </c:spPr>
          <c:marker>
            <c:symbol val="none"/>
          </c:marker>
          <c:xVal>
            <c:numRef>
              <c:f>'_TB Analysis'!$AB$310:$AC$310</c:f>
              <c:numCache>
                <c:formatCode>General</c:formatCode>
                <c:ptCount val="2"/>
                <c:pt idx="0">
                  <c:v>#N/A</c:v>
                </c:pt>
                <c:pt idx="1">
                  <c:v>#N/A</c:v>
                </c:pt>
              </c:numCache>
            </c:numRef>
          </c:xVal>
          <c:yVal>
            <c:numRef>
              <c:f>'_TB Analysis'!$AD$310:$AE$310</c:f>
              <c:numCache>
                <c:formatCode>General</c:formatCode>
                <c:ptCount val="2"/>
                <c:pt idx="0">
                  <c:v>#N/A</c:v>
                </c:pt>
                <c:pt idx="1">
                  <c:v>#N/A</c:v>
                </c:pt>
              </c:numCache>
            </c:numRef>
          </c:yVal>
          <c:smooth val="0"/>
          <c:extLst>
            <c:ext xmlns:c16="http://schemas.microsoft.com/office/drawing/2014/chart" uri="{C3380CC4-5D6E-409C-BE32-E72D297353CC}">
              <c16:uniqueId val="{0000007E-D99C-4AF6-89E7-DC5FF432C6FE}"/>
            </c:ext>
          </c:extLst>
        </c:ser>
        <c:ser>
          <c:idx val="100"/>
          <c:order val="20"/>
          <c:tx>
            <c:strRef>
              <c:f>'_TB Analysis'!$AA$309</c:f>
              <c:strCache>
                <c:ptCount val="1"/>
              </c:strCache>
            </c:strRef>
          </c:tx>
          <c:spPr>
            <a:ln w="12700">
              <a:solidFill>
                <a:srgbClr val="000000"/>
              </a:solidFill>
            </a:ln>
          </c:spPr>
          <c:marker>
            <c:symbol val="none"/>
          </c:marker>
          <c:xVal>
            <c:numRef>
              <c:f>'_TB Analysis'!$AB$309:$AC$309</c:f>
              <c:numCache>
                <c:formatCode>General</c:formatCode>
                <c:ptCount val="2"/>
                <c:pt idx="0">
                  <c:v>#N/A</c:v>
                </c:pt>
                <c:pt idx="1">
                  <c:v>#N/A</c:v>
                </c:pt>
              </c:numCache>
            </c:numRef>
          </c:xVal>
          <c:yVal>
            <c:numRef>
              <c:f>'_TB Analysis'!$AD$309:$AE$309</c:f>
              <c:numCache>
                <c:formatCode>General</c:formatCode>
                <c:ptCount val="2"/>
                <c:pt idx="0">
                  <c:v>#N/A</c:v>
                </c:pt>
                <c:pt idx="1">
                  <c:v>#N/A</c:v>
                </c:pt>
              </c:numCache>
            </c:numRef>
          </c:yVal>
          <c:smooth val="0"/>
          <c:extLst>
            <c:ext xmlns:c16="http://schemas.microsoft.com/office/drawing/2014/chart" uri="{C3380CC4-5D6E-409C-BE32-E72D297353CC}">
              <c16:uniqueId val="{0000007D-D99C-4AF6-89E7-DC5FF432C6FE}"/>
            </c:ext>
          </c:extLst>
        </c:ser>
        <c:ser>
          <c:idx val="99"/>
          <c:order val="21"/>
          <c:tx>
            <c:strRef>
              <c:f>'_TB Analysis'!$AA$308</c:f>
              <c:strCache>
                <c:ptCount val="1"/>
              </c:strCache>
            </c:strRef>
          </c:tx>
          <c:spPr>
            <a:ln w="12700">
              <a:solidFill>
                <a:srgbClr val="000000"/>
              </a:solidFill>
            </a:ln>
          </c:spPr>
          <c:marker>
            <c:symbol val="none"/>
          </c:marker>
          <c:xVal>
            <c:numRef>
              <c:f>'_TB Analysis'!$AB$308:$AC$308</c:f>
              <c:numCache>
                <c:formatCode>General</c:formatCode>
                <c:ptCount val="2"/>
                <c:pt idx="0">
                  <c:v>#N/A</c:v>
                </c:pt>
                <c:pt idx="1">
                  <c:v>#N/A</c:v>
                </c:pt>
              </c:numCache>
            </c:numRef>
          </c:xVal>
          <c:yVal>
            <c:numRef>
              <c:f>'_TB Analysis'!$AD$308:$AE$308</c:f>
              <c:numCache>
                <c:formatCode>General</c:formatCode>
                <c:ptCount val="2"/>
                <c:pt idx="0">
                  <c:v>#N/A</c:v>
                </c:pt>
                <c:pt idx="1">
                  <c:v>#N/A</c:v>
                </c:pt>
              </c:numCache>
            </c:numRef>
          </c:yVal>
          <c:smooth val="0"/>
          <c:extLst>
            <c:ext xmlns:c16="http://schemas.microsoft.com/office/drawing/2014/chart" uri="{C3380CC4-5D6E-409C-BE32-E72D297353CC}">
              <c16:uniqueId val="{0000007C-D99C-4AF6-89E7-DC5FF432C6FE}"/>
            </c:ext>
          </c:extLst>
        </c:ser>
        <c:ser>
          <c:idx val="98"/>
          <c:order val="22"/>
          <c:tx>
            <c:strRef>
              <c:f>'_TB Analysis'!$AA$307</c:f>
              <c:strCache>
                <c:ptCount val="1"/>
              </c:strCache>
            </c:strRef>
          </c:tx>
          <c:spPr>
            <a:ln w="12700">
              <a:solidFill>
                <a:srgbClr val="000000"/>
              </a:solidFill>
            </a:ln>
          </c:spPr>
          <c:marker>
            <c:symbol val="none"/>
          </c:marker>
          <c:xVal>
            <c:numRef>
              <c:f>'_TB Analysis'!$AB$307:$AC$307</c:f>
              <c:numCache>
                <c:formatCode>General</c:formatCode>
                <c:ptCount val="2"/>
                <c:pt idx="0">
                  <c:v>#N/A</c:v>
                </c:pt>
                <c:pt idx="1">
                  <c:v>#N/A</c:v>
                </c:pt>
              </c:numCache>
            </c:numRef>
          </c:xVal>
          <c:yVal>
            <c:numRef>
              <c:f>'_TB Analysis'!$AD$307:$AE$307</c:f>
              <c:numCache>
                <c:formatCode>General</c:formatCode>
                <c:ptCount val="2"/>
                <c:pt idx="0">
                  <c:v>#N/A</c:v>
                </c:pt>
                <c:pt idx="1">
                  <c:v>#N/A</c:v>
                </c:pt>
              </c:numCache>
            </c:numRef>
          </c:yVal>
          <c:smooth val="0"/>
          <c:extLst>
            <c:ext xmlns:c16="http://schemas.microsoft.com/office/drawing/2014/chart" uri="{C3380CC4-5D6E-409C-BE32-E72D297353CC}">
              <c16:uniqueId val="{0000007B-D99C-4AF6-89E7-DC5FF432C6FE}"/>
            </c:ext>
          </c:extLst>
        </c:ser>
        <c:ser>
          <c:idx val="97"/>
          <c:order val="23"/>
          <c:tx>
            <c:strRef>
              <c:f>'_TB Analysis'!$AA$306</c:f>
              <c:strCache>
                <c:ptCount val="1"/>
              </c:strCache>
            </c:strRef>
          </c:tx>
          <c:spPr>
            <a:ln w="12700">
              <a:solidFill>
                <a:srgbClr val="000000"/>
              </a:solidFill>
            </a:ln>
          </c:spPr>
          <c:marker>
            <c:symbol val="none"/>
          </c:marker>
          <c:xVal>
            <c:numRef>
              <c:f>'_TB Analysis'!$AB$306:$AC$306</c:f>
              <c:numCache>
                <c:formatCode>General</c:formatCode>
                <c:ptCount val="2"/>
                <c:pt idx="0">
                  <c:v>#N/A</c:v>
                </c:pt>
                <c:pt idx="1">
                  <c:v>#N/A</c:v>
                </c:pt>
              </c:numCache>
            </c:numRef>
          </c:xVal>
          <c:yVal>
            <c:numRef>
              <c:f>'_TB Analysis'!$AD$306:$AE$306</c:f>
              <c:numCache>
                <c:formatCode>General</c:formatCode>
                <c:ptCount val="2"/>
                <c:pt idx="0">
                  <c:v>#N/A</c:v>
                </c:pt>
                <c:pt idx="1">
                  <c:v>#N/A</c:v>
                </c:pt>
              </c:numCache>
            </c:numRef>
          </c:yVal>
          <c:smooth val="0"/>
          <c:extLst>
            <c:ext xmlns:c16="http://schemas.microsoft.com/office/drawing/2014/chart" uri="{C3380CC4-5D6E-409C-BE32-E72D297353CC}">
              <c16:uniqueId val="{0000007A-D99C-4AF6-89E7-DC5FF432C6FE}"/>
            </c:ext>
          </c:extLst>
        </c:ser>
        <c:ser>
          <c:idx val="96"/>
          <c:order val="24"/>
          <c:tx>
            <c:strRef>
              <c:f>'_TB Analysis'!$AA$305</c:f>
              <c:strCache>
                <c:ptCount val="1"/>
              </c:strCache>
            </c:strRef>
          </c:tx>
          <c:spPr>
            <a:ln w="12700">
              <a:solidFill>
                <a:srgbClr val="000000"/>
              </a:solidFill>
            </a:ln>
          </c:spPr>
          <c:marker>
            <c:symbol val="none"/>
          </c:marker>
          <c:xVal>
            <c:numRef>
              <c:f>'_TB Analysis'!$AB$305:$AC$305</c:f>
              <c:numCache>
                <c:formatCode>General</c:formatCode>
                <c:ptCount val="2"/>
                <c:pt idx="0">
                  <c:v>#N/A</c:v>
                </c:pt>
                <c:pt idx="1">
                  <c:v>#N/A</c:v>
                </c:pt>
              </c:numCache>
            </c:numRef>
          </c:xVal>
          <c:yVal>
            <c:numRef>
              <c:f>'_TB Analysis'!$AD$305:$AE$305</c:f>
              <c:numCache>
                <c:formatCode>General</c:formatCode>
                <c:ptCount val="2"/>
                <c:pt idx="0">
                  <c:v>#N/A</c:v>
                </c:pt>
                <c:pt idx="1">
                  <c:v>#N/A</c:v>
                </c:pt>
              </c:numCache>
            </c:numRef>
          </c:yVal>
          <c:smooth val="0"/>
          <c:extLst>
            <c:ext xmlns:c16="http://schemas.microsoft.com/office/drawing/2014/chart" uri="{C3380CC4-5D6E-409C-BE32-E72D297353CC}">
              <c16:uniqueId val="{00000079-D99C-4AF6-89E7-DC5FF432C6FE}"/>
            </c:ext>
          </c:extLst>
        </c:ser>
        <c:ser>
          <c:idx val="95"/>
          <c:order val="25"/>
          <c:tx>
            <c:strRef>
              <c:f>'_TB Analysis'!$AA$304</c:f>
              <c:strCache>
                <c:ptCount val="1"/>
              </c:strCache>
            </c:strRef>
          </c:tx>
          <c:spPr>
            <a:ln w="12700">
              <a:solidFill>
                <a:srgbClr val="000000"/>
              </a:solidFill>
            </a:ln>
          </c:spPr>
          <c:marker>
            <c:symbol val="none"/>
          </c:marker>
          <c:xVal>
            <c:numRef>
              <c:f>'_TB Analysis'!$AB$304:$AC$304</c:f>
              <c:numCache>
                <c:formatCode>General</c:formatCode>
                <c:ptCount val="2"/>
                <c:pt idx="0">
                  <c:v>#N/A</c:v>
                </c:pt>
                <c:pt idx="1">
                  <c:v>#N/A</c:v>
                </c:pt>
              </c:numCache>
            </c:numRef>
          </c:xVal>
          <c:yVal>
            <c:numRef>
              <c:f>'_TB Analysis'!$AD$304:$AE$304</c:f>
              <c:numCache>
                <c:formatCode>General</c:formatCode>
                <c:ptCount val="2"/>
                <c:pt idx="0">
                  <c:v>#N/A</c:v>
                </c:pt>
                <c:pt idx="1">
                  <c:v>#N/A</c:v>
                </c:pt>
              </c:numCache>
            </c:numRef>
          </c:yVal>
          <c:smooth val="0"/>
          <c:extLst>
            <c:ext xmlns:c16="http://schemas.microsoft.com/office/drawing/2014/chart" uri="{C3380CC4-5D6E-409C-BE32-E72D297353CC}">
              <c16:uniqueId val="{00000078-D99C-4AF6-89E7-DC5FF432C6FE}"/>
            </c:ext>
          </c:extLst>
        </c:ser>
        <c:ser>
          <c:idx val="94"/>
          <c:order val="26"/>
          <c:tx>
            <c:strRef>
              <c:f>'_TB Analysis'!$AA$303</c:f>
              <c:strCache>
                <c:ptCount val="1"/>
              </c:strCache>
            </c:strRef>
          </c:tx>
          <c:spPr>
            <a:ln w="12700">
              <a:solidFill>
                <a:srgbClr val="000000"/>
              </a:solidFill>
            </a:ln>
          </c:spPr>
          <c:marker>
            <c:symbol val="none"/>
          </c:marker>
          <c:xVal>
            <c:numRef>
              <c:f>'_TB Analysis'!$AB$303:$AC$303</c:f>
              <c:numCache>
                <c:formatCode>General</c:formatCode>
                <c:ptCount val="2"/>
                <c:pt idx="0">
                  <c:v>#N/A</c:v>
                </c:pt>
                <c:pt idx="1">
                  <c:v>#N/A</c:v>
                </c:pt>
              </c:numCache>
            </c:numRef>
          </c:xVal>
          <c:yVal>
            <c:numRef>
              <c:f>'_TB Analysis'!$AD$303:$AE$303</c:f>
              <c:numCache>
                <c:formatCode>General</c:formatCode>
                <c:ptCount val="2"/>
                <c:pt idx="0">
                  <c:v>#N/A</c:v>
                </c:pt>
                <c:pt idx="1">
                  <c:v>#N/A</c:v>
                </c:pt>
              </c:numCache>
            </c:numRef>
          </c:yVal>
          <c:smooth val="0"/>
          <c:extLst>
            <c:ext xmlns:c16="http://schemas.microsoft.com/office/drawing/2014/chart" uri="{C3380CC4-5D6E-409C-BE32-E72D297353CC}">
              <c16:uniqueId val="{00000077-D99C-4AF6-89E7-DC5FF432C6FE}"/>
            </c:ext>
          </c:extLst>
        </c:ser>
        <c:ser>
          <c:idx val="93"/>
          <c:order val="27"/>
          <c:tx>
            <c:strRef>
              <c:f>'_TB Analysis'!$AA$302</c:f>
              <c:strCache>
                <c:ptCount val="1"/>
              </c:strCache>
            </c:strRef>
          </c:tx>
          <c:spPr>
            <a:ln w="12700">
              <a:solidFill>
                <a:srgbClr val="000000"/>
              </a:solidFill>
            </a:ln>
          </c:spPr>
          <c:marker>
            <c:symbol val="none"/>
          </c:marker>
          <c:xVal>
            <c:numRef>
              <c:f>'_TB Analysis'!$AB$302:$AC$302</c:f>
              <c:numCache>
                <c:formatCode>General</c:formatCode>
                <c:ptCount val="2"/>
                <c:pt idx="0">
                  <c:v>#N/A</c:v>
                </c:pt>
                <c:pt idx="1">
                  <c:v>#N/A</c:v>
                </c:pt>
              </c:numCache>
            </c:numRef>
          </c:xVal>
          <c:yVal>
            <c:numRef>
              <c:f>'_TB Analysis'!$AD$302:$AE$302</c:f>
              <c:numCache>
                <c:formatCode>General</c:formatCode>
                <c:ptCount val="2"/>
                <c:pt idx="0">
                  <c:v>#N/A</c:v>
                </c:pt>
                <c:pt idx="1">
                  <c:v>#N/A</c:v>
                </c:pt>
              </c:numCache>
            </c:numRef>
          </c:yVal>
          <c:smooth val="0"/>
          <c:extLst>
            <c:ext xmlns:c16="http://schemas.microsoft.com/office/drawing/2014/chart" uri="{C3380CC4-5D6E-409C-BE32-E72D297353CC}">
              <c16:uniqueId val="{00000076-D99C-4AF6-89E7-DC5FF432C6FE}"/>
            </c:ext>
          </c:extLst>
        </c:ser>
        <c:ser>
          <c:idx val="92"/>
          <c:order val="28"/>
          <c:tx>
            <c:strRef>
              <c:f>'_TB Analysis'!$AA$301</c:f>
              <c:strCache>
                <c:ptCount val="1"/>
              </c:strCache>
            </c:strRef>
          </c:tx>
          <c:spPr>
            <a:ln w="12700">
              <a:solidFill>
                <a:srgbClr val="000000"/>
              </a:solidFill>
            </a:ln>
          </c:spPr>
          <c:marker>
            <c:symbol val="none"/>
          </c:marker>
          <c:xVal>
            <c:numRef>
              <c:f>'_TB Analysis'!$AB$301:$AC$301</c:f>
              <c:numCache>
                <c:formatCode>General</c:formatCode>
                <c:ptCount val="2"/>
                <c:pt idx="0">
                  <c:v>#N/A</c:v>
                </c:pt>
                <c:pt idx="1">
                  <c:v>#N/A</c:v>
                </c:pt>
              </c:numCache>
            </c:numRef>
          </c:xVal>
          <c:yVal>
            <c:numRef>
              <c:f>'_TB Analysis'!$AD$301:$AE$301</c:f>
              <c:numCache>
                <c:formatCode>General</c:formatCode>
                <c:ptCount val="2"/>
                <c:pt idx="0">
                  <c:v>#N/A</c:v>
                </c:pt>
                <c:pt idx="1">
                  <c:v>#N/A</c:v>
                </c:pt>
              </c:numCache>
            </c:numRef>
          </c:yVal>
          <c:smooth val="0"/>
          <c:extLst>
            <c:ext xmlns:c16="http://schemas.microsoft.com/office/drawing/2014/chart" uri="{C3380CC4-5D6E-409C-BE32-E72D297353CC}">
              <c16:uniqueId val="{00000075-D99C-4AF6-89E7-DC5FF432C6FE}"/>
            </c:ext>
          </c:extLst>
        </c:ser>
        <c:ser>
          <c:idx val="91"/>
          <c:order val="29"/>
          <c:tx>
            <c:strRef>
              <c:f>'_TB Analysis'!$AA$300</c:f>
              <c:strCache>
                <c:ptCount val="1"/>
              </c:strCache>
            </c:strRef>
          </c:tx>
          <c:spPr>
            <a:ln w="12700">
              <a:solidFill>
                <a:srgbClr val="000000"/>
              </a:solidFill>
            </a:ln>
          </c:spPr>
          <c:marker>
            <c:symbol val="none"/>
          </c:marker>
          <c:xVal>
            <c:numRef>
              <c:f>'_TB Analysis'!$AB$300:$AC$300</c:f>
              <c:numCache>
                <c:formatCode>General</c:formatCode>
                <c:ptCount val="2"/>
                <c:pt idx="0">
                  <c:v>#N/A</c:v>
                </c:pt>
                <c:pt idx="1">
                  <c:v>#N/A</c:v>
                </c:pt>
              </c:numCache>
            </c:numRef>
          </c:xVal>
          <c:yVal>
            <c:numRef>
              <c:f>'_TB Analysis'!$AD$300:$AE$300</c:f>
              <c:numCache>
                <c:formatCode>General</c:formatCode>
                <c:ptCount val="2"/>
                <c:pt idx="0">
                  <c:v>#N/A</c:v>
                </c:pt>
                <c:pt idx="1">
                  <c:v>#N/A</c:v>
                </c:pt>
              </c:numCache>
            </c:numRef>
          </c:yVal>
          <c:smooth val="0"/>
          <c:extLst>
            <c:ext xmlns:c16="http://schemas.microsoft.com/office/drawing/2014/chart" uri="{C3380CC4-5D6E-409C-BE32-E72D297353CC}">
              <c16:uniqueId val="{00000074-D99C-4AF6-89E7-DC5FF432C6FE}"/>
            </c:ext>
          </c:extLst>
        </c:ser>
        <c:ser>
          <c:idx val="90"/>
          <c:order val="30"/>
          <c:tx>
            <c:strRef>
              <c:f>'_TB Analysis'!$AA$299</c:f>
              <c:strCache>
                <c:ptCount val="1"/>
              </c:strCache>
            </c:strRef>
          </c:tx>
          <c:spPr>
            <a:ln w="12700">
              <a:solidFill>
                <a:srgbClr val="000000"/>
              </a:solidFill>
            </a:ln>
          </c:spPr>
          <c:marker>
            <c:symbol val="none"/>
          </c:marker>
          <c:xVal>
            <c:numRef>
              <c:f>'_TB Analysis'!$AB$299:$AC$299</c:f>
              <c:numCache>
                <c:formatCode>General</c:formatCode>
                <c:ptCount val="2"/>
                <c:pt idx="0">
                  <c:v>#N/A</c:v>
                </c:pt>
                <c:pt idx="1">
                  <c:v>#N/A</c:v>
                </c:pt>
              </c:numCache>
            </c:numRef>
          </c:xVal>
          <c:yVal>
            <c:numRef>
              <c:f>'_TB Analysis'!$AD$299:$AE$299</c:f>
              <c:numCache>
                <c:formatCode>General</c:formatCode>
                <c:ptCount val="2"/>
                <c:pt idx="0">
                  <c:v>#N/A</c:v>
                </c:pt>
                <c:pt idx="1">
                  <c:v>#N/A</c:v>
                </c:pt>
              </c:numCache>
            </c:numRef>
          </c:yVal>
          <c:smooth val="0"/>
          <c:extLst>
            <c:ext xmlns:c16="http://schemas.microsoft.com/office/drawing/2014/chart" uri="{C3380CC4-5D6E-409C-BE32-E72D297353CC}">
              <c16:uniqueId val="{00000073-D99C-4AF6-89E7-DC5FF432C6FE}"/>
            </c:ext>
          </c:extLst>
        </c:ser>
        <c:ser>
          <c:idx val="89"/>
          <c:order val="31"/>
          <c:tx>
            <c:strRef>
              <c:f>'_TB Analysis'!$AA$298</c:f>
              <c:strCache>
                <c:ptCount val="1"/>
              </c:strCache>
            </c:strRef>
          </c:tx>
          <c:spPr>
            <a:ln w="12700">
              <a:solidFill>
                <a:srgbClr val="000000"/>
              </a:solidFill>
            </a:ln>
          </c:spPr>
          <c:marker>
            <c:symbol val="none"/>
          </c:marker>
          <c:xVal>
            <c:numRef>
              <c:f>'_TB Analysis'!$AB$298:$AC$298</c:f>
              <c:numCache>
                <c:formatCode>General</c:formatCode>
                <c:ptCount val="2"/>
                <c:pt idx="0">
                  <c:v>#N/A</c:v>
                </c:pt>
                <c:pt idx="1">
                  <c:v>#N/A</c:v>
                </c:pt>
              </c:numCache>
            </c:numRef>
          </c:xVal>
          <c:yVal>
            <c:numRef>
              <c:f>'_TB Analysis'!$AD$298:$AE$298</c:f>
              <c:numCache>
                <c:formatCode>General</c:formatCode>
                <c:ptCount val="2"/>
                <c:pt idx="0">
                  <c:v>#N/A</c:v>
                </c:pt>
                <c:pt idx="1">
                  <c:v>#N/A</c:v>
                </c:pt>
              </c:numCache>
            </c:numRef>
          </c:yVal>
          <c:smooth val="0"/>
          <c:extLst>
            <c:ext xmlns:c16="http://schemas.microsoft.com/office/drawing/2014/chart" uri="{C3380CC4-5D6E-409C-BE32-E72D297353CC}">
              <c16:uniqueId val="{00000072-D99C-4AF6-89E7-DC5FF432C6FE}"/>
            </c:ext>
          </c:extLst>
        </c:ser>
        <c:ser>
          <c:idx val="88"/>
          <c:order val="32"/>
          <c:tx>
            <c:strRef>
              <c:f>'_TB Analysis'!$AA$297</c:f>
              <c:strCache>
                <c:ptCount val="1"/>
              </c:strCache>
            </c:strRef>
          </c:tx>
          <c:spPr>
            <a:ln w="12700">
              <a:solidFill>
                <a:srgbClr val="000000"/>
              </a:solidFill>
            </a:ln>
          </c:spPr>
          <c:marker>
            <c:symbol val="none"/>
          </c:marker>
          <c:xVal>
            <c:numRef>
              <c:f>'_TB Analysis'!$AB$297:$AC$297</c:f>
              <c:numCache>
                <c:formatCode>General</c:formatCode>
                <c:ptCount val="2"/>
                <c:pt idx="0">
                  <c:v>#N/A</c:v>
                </c:pt>
                <c:pt idx="1">
                  <c:v>#N/A</c:v>
                </c:pt>
              </c:numCache>
            </c:numRef>
          </c:xVal>
          <c:yVal>
            <c:numRef>
              <c:f>'_TB Analysis'!$AD$297:$AE$297</c:f>
              <c:numCache>
                <c:formatCode>General</c:formatCode>
                <c:ptCount val="2"/>
                <c:pt idx="0">
                  <c:v>#N/A</c:v>
                </c:pt>
                <c:pt idx="1">
                  <c:v>#N/A</c:v>
                </c:pt>
              </c:numCache>
            </c:numRef>
          </c:yVal>
          <c:smooth val="0"/>
          <c:extLst>
            <c:ext xmlns:c16="http://schemas.microsoft.com/office/drawing/2014/chart" uri="{C3380CC4-5D6E-409C-BE32-E72D297353CC}">
              <c16:uniqueId val="{00000071-D99C-4AF6-89E7-DC5FF432C6FE}"/>
            </c:ext>
          </c:extLst>
        </c:ser>
        <c:ser>
          <c:idx val="87"/>
          <c:order val="33"/>
          <c:tx>
            <c:strRef>
              <c:f>'_TB Analysis'!$AA$296</c:f>
              <c:strCache>
                <c:ptCount val="1"/>
              </c:strCache>
            </c:strRef>
          </c:tx>
          <c:spPr>
            <a:ln w="12700">
              <a:solidFill>
                <a:srgbClr val="000000"/>
              </a:solidFill>
            </a:ln>
          </c:spPr>
          <c:marker>
            <c:symbol val="none"/>
          </c:marker>
          <c:xVal>
            <c:numRef>
              <c:f>'_TB Analysis'!$AB$296:$AC$296</c:f>
              <c:numCache>
                <c:formatCode>General</c:formatCode>
                <c:ptCount val="2"/>
                <c:pt idx="0">
                  <c:v>#N/A</c:v>
                </c:pt>
                <c:pt idx="1">
                  <c:v>#N/A</c:v>
                </c:pt>
              </c:numCache>
            </c:numRef>
          </c:xVal>
          <c:yVal>
            <c:numRef>
              <c:f>'_TB Analysis'!$AD$296:$AE$296</c:f>
              <c:numCache>
                <c:formatCode>General</c:formatCode>
                <c:ptCount val="2"/>
                <c:pt idx="0">
                  <c:v>#N/A</c:v>
                </c:pt>
                <c:pt idx="1">
                  <c:v>#N/A</c:v>
                </c:pt>
              </c:numCache>
            </c:numRef>
          </c:yVal>
          <c:smooth val="0"/>
          <c:extLst>
            <c:ext xmlns:c16="http://schemas.microsoft.com/office/drawing/2014/chart" uri="{C3380CC4-5D6E-409C-BE32-E72D297353CC}">
              <c16:uniqueId val="{00000070-D99C-4AF6-89E7-DC5FF432C6FE}"/>
            </c:ext>
          </c:extLst>
        </c:ser>
        <c:ser>
          <c:idx val="86"/>
          <c:order val="34"/>
          <c:tx>
            <c:strRef>
              <c:f>'_TB Analysis'!$AA$295</c:f>
              <c:strCache>
                <c:ptCount val="1"/>
              </c:strCache>
            </c:strRef>
          </c:tx>
          <c:spPr>
            <a:ln w="12700">
              <a:solidFill>
                <a:srgbClr val="000000"/>
              </a:solidFill>
            </a:ln>
          </c:spPr>
          <c:marker>
            <c:symbol val="none"/>
          </c:marker>
          <c:xVal>
            <c:numRef>
              <c:f>'_TB Analysis'!$AB$295:$AC$295</c:f>
              <c:numCache>
                <c:formatCode>General</c:formatCode>
                <c:ptCount val="2"/>
                <c:pt idx="0">
                  <c:v>#N/A</c:v>
                </c:pt>
                <c:pt idx="1">
                  <c:v>#N/A</c:v>
                </c:pt>
              </c:numCache>
            </c:numRef>
          </c:xVal>
          <c:yVal>
            <c:numRef>
              <c:f>'_TB Analysis'!$AD$295:$AE$295</c:f>
              <c:numCache>
                <c:formatCode>General</c:formatCode>
                <c:ptCount val="2"/>
                <c:pt idx="0">
                  <c:v>#N/A</c:v>
                </c:pt>
                <c:pt idx="1">
                  <c:v>#N/A</c:v>
                </c:pt>
              </c:numCache>
            </c:numRef>
          </c:yVal>
          <c:smooth val="0"/>
          <c:extLst>
            <c:ext xmlns:c16="http://schemas.microsoft.com/office/drawing/2014/chart" uri="{C3380CC4-5D6E-409C-BE32-E72D297353CC}">
              <c16:uniqueId val="{0000006F-D99C-4AF6-89E7-DC5FF432C6FE}"/>
            </c:ext>
          </c:extLst>
        </c:ser>
        <c:ser>
          <c:idx val="85"/>
          <c:order val="35"/>
          <c:tx>
            <c:strRef>
              <c:f>'_TB Analysis'!$AA$294</c:f>
              <c:strCache>
                <c:ptCount val="1"/>
              </c:strCache>
            </c:strRef>
          </c:tx>
          <c:spPr>
            <a:ln w="12700">
              <a:solidFill>
                <a:srgbClr val="000000"/>
              </a:solidFill>
            </a:ln>
          </c:spPr>
          <c:marker>
            <c:symbol val="none"/>
          </c:marker>
          <c:xVal>
            <c:numRef>
              <c:f>'_TB Analysis'!$AB$294:$AC$294</c:f>
              <c:numCache>
                <c:formatCode>General</c:formatCode>
                <c:ptCount val="2"/>
                <c:pt idx="0">
                  <c:v>#N/A</c:v>
                </c:pt>
                <c:pt idx="1">
                  <c:v>#N/A</c:v>
                </c:pt>
              </c:numCache>
            </c:numRef>
          </c:xVal>
          <c:yVal>
            <c:numRef>
              <c:f>'_TB Analysis'!$AD$294:$AE$294</c:f>
              <c:numCache>
                <c:formatCode>General</c:formatCode>
                <c:ptCount val="2"/>
                <c:pt idx="0">
                  <c:v>#N/A</c:v>
                </c:pt>
                <c:pt idx="1">
                  <c:v>#N/A</c:v>
                </c:pt>
              </c:numCache>
            </c:numRef>
          </c:yVal>
          <c:smooth val="0"/>
          <c:extLst>
            <c:ext xmlns:c16="http://schemas.microsoft.com/office/drawing/2014/chart" uri="{C3380CC4-5D6E-409C-BE32-E72D297353CC}">
              <c16:uniqueId val="{0000006E-D99C-4AF6-89E7-DC5FF432C6FE}"/>
            </c:ext>
          </c:extLst>
        </c:ser>
        <c:ser>
          <c:idx val="84"/>
          <c:order val="36"/>
          <c:tx>
            <c:strRef>
              <c:f>'_TB Analysis'!$AA$293</c:f>
              <c:strCache>
                <c:ptCount val="1"/>
              </c:strCache>
            </c:strRef>
          </c:tx>
          <c:spPr>
            <a:ln w="12700">
              <a:solidFill>
                <a:srgbClr val="000000"/>
              </a:solidFill>
            </a:ln>
          </c:spPr>
          <c:marker>
            <c:symbol val="none"/>
          </c:marker>
          <c:xVal>
            <c:numRef>
              <c:f>'_TB Analysis'!$AB$293:$AC$293</c:f>
              <c:numCache>
                <c:formatCode>General</c:formatCode>
                <c:ptCount val="2"/>
                <c:pt idx="0">
                  <c:v>#N/A</c:v>
                </c:pt>
                <c:pt idx="1">
                  <c:v>#N/A</c:v>
                </c:pt>
              </c:numCache>
            </c:numRef>
          </c:xVal>
          <c:yVal>
            <c:numRef>
              <c:f>'_TB Analysis'!$AD$293:$AE$293</c:f>
              <c:numCache>
                <c:formatCode>General</c:formatCode>
                <c:ptCount val="2"/>
                <c:pt idx="0">
                  <c:v>#N/A</c:v>
                </c:pt>
                <c:pt idx="1">
                  <c:v>#N/A</c:v>
                </c:pt>
              </c:numCache>
            </c:numRef>
          </c:yVal>
          <c:smooth val="0"/>
          <c:extLst>
            <c:ext xmlns:c16="http://schemas.microsoft.com/office/drawing/2014/chart" uri="{C3380CC4-5D6E-409C-BE32-E72D297353CC}">
              <c16:uniqueId val="{0000006D-D99C-4AF6-89E7-DC5FF432C6FE}"/>
            </c:ext>
          </c:extLst>
        </c:ser>
        <c:ser>
          <c:idx val="83"/>
          <c:order val="37"/>
          <c:tx>
            <c:strRef>
              <c:f>'_TB Analysis'!$AA$292</c:f>
              <c:strCache>
                <c:ptCount val="1"/>
              </c:strCache>
            </c:strRef>
          </c:tx>
          <c:spPr>
            <a:ln w="12700">
              <a:solidFill>
                <a:srgbClr val="000000"/>
              </a:solidFill>
            </a:ln>
          </c:spPr>
          <c:marker>
            <c:symbol val="none"/>
          </c:marker>
          <c:xVal>
            <c:numRef>
              <c:f>'_TB Analysis'!$AB$292:$AC$292</c:f>
              <c:numCache>
                <c:formatCode>General</c:formatCode>
                <c:ptCount val="2"/>
                <c:pt idx="0">
                  <c:v>#N/A</c:v>
                </c:pt>
                <c:pt idx="1">
                  <c:v>#N/A</c:v>
                </c:pt>
              </c:numCache>
            </c:numRef>
          </c:xVal>
          <c:yVal>
            <c:numRef>
              <c:f>'_TB Analysis'!$AD$292:$AE$292</c:f>
              <c:numCache>
                <c:formatCode>General</c:formatCode>
                <c:ptCount val="2"/>
                <c:pt idx="0">
                  <c:v>#N/A</c:v>
                </c:pt>
                <c:pt idx="1">
                  <c:v>#N/A</c:v>
                </c:pt>
              </c:numCache>
            </c:numRef>
          </c:yVal>
          <c:smooth val="0"/>
          <c:extLst>
            <c:ext xmlns:c16="http://schemas.microsoft.com/office/drawing/2014/chart" uri="{C3380CC4-5D6E-409C-BE32-E72D297353CC}">
              <c16:uniqueId val="{0000006C-D99C-4AF6-89E7-DC5FF432C6FE}"/>
            </c:ext>
          </c:extLst>
        </c:ser>
        <c:ser>
          <c:idx val="82"/>
          <c:order val="38"/>
          <c:tx>
            <c:strRef>
              <c:f>'_TB Analysis'!$AA$291</c:f>
              <c:strCache>
                <c:ptCount val="1"/>
              </c:strCache>
            </c:strRef>
          </c:tx>
          <c:spPr>
            <a:ln w="12700">
              <a:solidFill>
                <a:srgbClr val="000000"/>
              </a:solidFill>
            </a:ln>
          </c:spPr>
          <c:marker>
            <c:symbol val="none"/>
          </c:marker>
          <c:xVal>
            <c:numRef>
              <c:f>'_TB Analysis'!$AB$291:$AC$291</c:f>
              <c:numCache>
                <c:formatCode>General</c:formatCode>
                <c:ptCount val="2"/>
                <c:pt idx="0">
                  <c:v>#N/A</c:v>
                </c:pt>
                <c:pt idx="1">
                  <c:v>#N/A</c:v>
                </c:pt>
              </c:numCache>
            </c:numRef>
          </c:xVal>
          <c:yVal>
            <c:numRef>
              <c:f>'_TB Analysis'!$AD$291:$AE$291</c:f>
              <c:numCache>
                <c:formatCode>General</c:formatCode>
                <c:ptCount val="2"/>
                <c:pt idx="0">
                  <c:v>#N/A</c:v>
                </c:pt>
                <c:pt idx="1">
                  <c:v>#N/A</c:v>
                </c:pt>
              </c:numCache>
            </c:numRef>
          </c:yVal>
          <c:smooth val="0"/>
          <c:extLst>
            <c:ext xmlns:c16="http://schemas.microsoft.com/office/drawing/2014/chart" uri="{C3380CC4-5D6E-409C-BE32-E72D297353CC}">
              <c16:uniqueId val="{0000006B-D99C-4AF6-89E7-DC5FF432C6FE}"/>
            </c:ext>
          </c:extLst>
        </c:ser>
        <c:ser>
          <c:idx val="81"/>
          <c:order val="39"/>
          <c:tx>
            <c:strRef>
              <c:f>'_TB Analysis'!$AA$290</c:f>
              <c:strCache>
                <c:ptCount val="1"/>
              </c:strCache>
            </c:strRef>
          </c:tx>
          <c:spPr>
            <a:ln w="12700">
              <a:solidFill>
                <a:srgbClr val="000000"/>
              </a:solidFill>
            </a:ln>
          </c:spPr>
          <c:marker>
            <c:symbol val="none"/>
          </c:marker>
          <c:xVal>
            <c:numRef>
              <c:f>'_TB Analysis'!$AB$290:$AC$290</c:f>
              <c:numCache>
                <c:formatCode>General</c:formatCode>
                <c:ptCount val="2"/>
                <c:pt idx="0">
                  <c:v>#N/A</c:v>
                </c:pt>
                <c:pt idx="1">
                  <c:v>#N/A</c:v>
                </c:pt>
              </c:numCache>
            </c:numRef>
          </c:xVal>
          <c:yVal>
            <c:numRef>
              <c:f>'_TB Analysis'!$AD$290:$AE$290</c:f>
              <c:numCache>
                <c:formatCode>General</c:formatCode>
                <c:ptCount val="2"/>
                <c:pt idx="0">
                  <c:v>#N/A</c:v>
                </c:pt>
                <c:pt idx="1">
                  <c:v>#N/A</c:v>
                </c:pt>
              </c:numCache>
            </c:numRef>
          </c:yVal>
          <c:smooth val="0"/>
          <c:extLst>
            <c:ext xmlns:c16="http://schemas.microsoft.com/office/drawing/2014/chart" uri="{C3380CC4-5D6E-409C-BE32-E72D297353CC}">
              <c16:uniqueId val="{0000006A-D99C-4AF6-89E7-DC5FF432C6FE}"/>
            </c:ext>
          </c:extLst>
        </c:ser>
        <c:ser>
          <c:idx val="80"/>
          <c:order val="40"/>
          <c:tx>
            <c:strRef>
              <c:f>'_TB Analysis'!$AA$289</c:f>
              <c:strCache>
                <c:ptCount val="1"/>
              </c:strCache>
            </c:strRef>
          </c:tx>
          <c:spPr>
            <a:ln w="12700">
              <a:solidFill>
                <a:srgbClr val="000000"/>
              </a:solidFill>
            </a:ln>
          </c:spPr>
          <c:marker>
            <c:symbol val="none"/>
          </c:marker>
          <c:xVal>
            <c:numRef>
              <c:f>'_TB Analysis'!$AB$289:$AC$289</c:f>
              <c:numCache>
                <c:formatCode>General</c:formatCode>
                <c:ptCount val="2"/>
                <c:pt idx="0">
                  <c:v>#N/A</c:v>
                </c:pt>
                <c:pt idx="1">
                  <c:v>#N/A</c:v>
                </c:pt>
              </c:numCache>
            </c:numRef>
          </c:xVal>
          <c:yVal>
            <c:numRef>
              <c:f>'_TB Analysis'!$AD$289:$AE$289</c:f>
              <c:numCache>
                <c:formatCode>General</c:formatCode>
                <c:ptCount val="2"/>
                <c:pt idx="0">
                  <c:v>#N/A</c:v>
                </c:pt>
                <c:pt idx="1">
                  <c:v>#N/A</c:v>
                </c:pt>
              </c:numCache>
            </c:numRef>
          </c:yVal>
          <c:smooth val="0"/>
          <c:extLst>
            <c:ext xmlns:c16="http://schemas.microsoft.com/office/drawing/2014/chart" uri="{C3380CC4-5D6E-409C-BE32-E72D297353CC}">
              <c16:uniqueId val="{00000069-D99C-4AF6-89E7-DC5FF432C6FE}"/>
            </c:ext>
          </c:extLst>
        </c:ser>
        <c:ser>
          <c:idx val="79"/>
          <c:order val="41"/>
          <c:tx>
            <c:strRef>
              <c:f>'_TB Analysis'!$AA$288</c:f>
              <c:strCache>
                <c:ptCount val="1"/>
              </c:strCache>
            </c:strRef>
          </c:tx>
          <c:spPr>
            <a:ln w="12700">
              <a:solidFill>
                <a:srgbClr val="000000"/>
              </a:solidFill>
            </a:ln>
          </c:spPr>
          <c:marker>
            <c:symbol val="none"/>
          </c:marker>
          <c:xVal>
            <c:numRef>
              <c:f>'_TB Analysis'!$AB$288:$AC$288</c:f>
              <c:numCache>
                <c:formatCode>General</c:formatCode>
                <c:ptCount val="2"/>
                <c:pt idx="0">
                  <c:v>#N/A</c:v>
                </c:pt>
                <c:pt idx="1">
                  <c:v>#N/A</c:v>
                </c:pt>
              </c:numCache>
            </c:numRef>
          </c:xVal>
          <c:yVal>
            <c:numRef>
              <c:f>'_TB Analysis'!$AD$288:$AE$288</c:f>
              <c:numCache>
                <c:formatCode>General</c:formatCode>
                <c:ptCount val="2"/>
                <c:pt idx="0">
                  <c:v>#N/A</c:v>
                </c:pt>
                <c:pt idx="1">
                  <c:v>#N/A</c:v>
                </c:pt>
              </c:numCache>
            </c:numRef>
          </c:yVal>
          <c:smooth val="0"/>
          <c:extLst>
            <c:ext xmlns:c16="http://schemas.microsoft.com/office/drawing/2014/chart" uri="{C3380CC4-5D6E-409C-BE32-E72D297353CC}">
              <c16:uniqueId val="{00000068-D99C-4AF6-89E7-DC5FF432C6FE}"/>
            </c:ext>
          </c:extLst>
        </c:ser>
        <c:ser>
          <c:idx val="78"/>
          <c:order val="42"/>
          <c:tx>
            <c:strRef>
              <c:f>'_TB Analysis'!$AA$287</c:f>
              <c:strCache>
                <c:ptCount val="1"/>
              </c:strCache>
            </c:strRef>
          </c:tx>
          <c:spPr>
            <a:ln w="12700">
              <a:solidFill>
                <a:srgbClr val="000000"/>
              </a:solidFill>
            </a:ln>
          </c:spPr>
          <c:marker>
            <c:symbol val="none"/>
          </c:marker>
          <c:xVal>
            <c:numRef>
              <c:f>'_TB Analysis'!$AB$287:$AC$287</c:f>
              <c:numCache>
                <c:formatCode>General</c:formatCode>
                <c:ptCount val="2"/>
                <c:pt idx="0">
                  <c:v>#N/A</c:v>
                </c:pt>
                <c:pt idx="1">
                  <c:v>#N/A</c:v>
                </c:pt>
              </c:numCache>
            </c:numRef>
          </c:xVal>
          <c:yVal>
            <c:numRef>
              <c:f>'_TB Analysis'!$AD$287:$AE$287</c:f>
              <c:numCache>
                <c:formatCode>General</c:formatCode>
                <c:ptCount val="2"/>
                <c:pt idx="0">
                  <c:v>#N/A</c:v>
                </c:pt>
                <c:pt idx="1">
                  <c:v>#N/A</c:v>
                </c:pt>
              </c:numCache>
            </c:numRef>
          </c:yVal>
          <c:smooth val="0"/>
          <c:extLst>
            <c:ext xmlns:c16="http://schemas.microsoft.com/office/drawing/2014/chart" uri="{C3380CC4-5D6E-409C-BE32-E72D297353CC}">
              <c16:uniqueId val="{00000067-D99C-4AF6-89E7-DC5FF432C6FE}"/>
            </c:ext>
          </c:extLst>
        </c:ser>
        <c:ser>
          <c:idx val="77"/>
          <c:order val="43"/>
          <c:tx>
            <c:strRef>
              <c:f>'_TB Analysis'!$AA$286</c:f>
              <c:strCache>
                <c:ptCount val="1"/>
              </c:strCache>
            </c:strRef>
          </c:tx>
          <c:spPr>
            <a:ln w="12700">
              <a:solidFill>
                <a:srgbClr val="000000"/>
              </a:solidFill>
            </a:ln>
          </c:spPr>
          <c:marker>
            <c:symbol val="none"/>
          </c:marker>
          <c:xVal>
            <c:numRef>
              <c:f>'_TB Analysis'!$AB$286:$AC$286</c:f>
              <c:numCache>
                <c:formatCode>General</c:formatCode>
                <c:ptCount val="2"/>
                <c:pt idx="0">
                  <c:v>#N/A</c:v>
                </c:pt>
                <c:pt idx="1">
                  <c:v>#N/A</c:v>
                </c:pt>
              </c:numCache>
            </c:numRef>
          </c:xVal>
          <c:yVal>
            <c:numRef>
              <c:f>'_TB Analysis'!$AD$286:$AE$286</c:f>
              <c:numCache>
                <c:formatCode>General</c:formatCode>
                <c:ptCount val="2"/>
                <c:pt idx="0">
                  <c:v>#N/A</c:v>
                </c:pt>
                <c:pt idx="1">
                  <c:v>#N/A</c:v>
                </c:pt>
              </c:numCache>
            </c:numRef>
          </c:yVal>
          <c:smooth val="0"/>
          <c:extLst>
            <c:ext xmlns:c16="http://schemas.microsoft.com/office/drawing/2014/chart" uri="{C3380CC4-5D6E-409C-BE32-E72D297353CC}">
              <c16:uniqueId val="{00000066-D99C-4AF6-89E7-DC5FF432C6FE}"/>
            </c:ext>
          </c:extLst>
        </c:ser>
        <c:ser>
          <c:idx val="76"/>
          <c:order val="44"/>
          <c:tx>
            <c:strRef>
              <c:f>'_TB Analysis'!$AA$285</c:f>
              <c:strCache>
                <c:ptCount val="1"/>
              </c:strCache>
            </c:strRef>
          </c:tx>
          <c:spPr>
            <a:ln w="12700">
              <a:solidFill>
                <a:srgbClr val="000000"/>
              </a:solidFill>
            </a:ln>
          </c:spPr>
          <c:marker>
            <c:symbol val="none"/>
          </c:marker>
          <c:xVal>
            <c:numRef>
              <c:f>'_TB Analysis'!$AB$285:$AC$285</c:f>
              <c:numCache>
                <c:formatCode>General</c:formatCode>
                <c:ptCount val="2"/>
                <c:pt idx="0">
                  <c:v>#N/A</c:v>
                </c:pt>
                <c:pt idx="1">
                  <c:v>#N/A</c:v>
                </c:pt>
              </c:numCache>
            </c:numRef>
          </c:xVal>
          <c:yVal>
            <c:numRef>
              <c:f>'_TB Analysis'!$AD$285:$AE$285</c:f>
              <c:numCache>
                <c:formatCode>General</c:formatCode>
                <c:ptCount val="2"/>
                <c:pt idx="0">
                  <c:v>#N/A</c:v>
                </c:pt>
                <c:pt idx="1">
                  <c:v>#N/A</c:v>
                </c:pt>
              </c:numCache>
            </c:numRef>
          </c:yVal>
          <c:smooth val="0"/>
          <c:extLst>
            <c:ext xmlns:c16="http://schemas.microsoft.com/office/drawing/2014/chart" uri="{C3380CC4-5D6E-409C-BE32-E72D297353CC}">
              <c16:uniqueId val="{00000065-D99C-4AF6-89E7-DC5FF432C6FE}"/>
            </c:ext>
          </c:extLst>
        </c:ser>
        <c:ser>
          <c:idx val="75"/>
          <c:order val="45"/>
          <c:tx>
            <c:strRef>
              <c:f>'_TB Analysis'!$AA$284</c:f>
              <c:strCache>
                <c:ptCount val="1"/>
              </c:strCache>
            </c:strRef>
          </c:tx>
          <c:spPr>
            <a:ln w="12700">
              <a:solidFill>
                <a:srgbClr val="000000"/>
              </a:solidFill>
            </a:ln>
          </c:spPr>
          <c:marker>
            <c:symbol val="none"/>
          </c:marker>
          <c:xVal>
            <c:numRef>
              <c:f>'_TB Analysis'!$AB$284:$AC$284</c:f>
              <c:numCache>
                <c:formatCode>General</c:formatCode>
                <c:ptCount val="2"/>
                <c:pt idx="0">
                  <c:v>#N/A</c:v>
                </c:pt>
                <c:pt idx="1">
                  <c:v>#N/A</c:v>
                </c:pt>
              </c:numCache>
            </c:numRef>
          </c:xVal>
          <c:yVal>
            <c:numRef>
              <c:f>'_TB Analysis'!$AD$284:$AE$284</c:f>
              <c:numCache>
                <c:formatCode>General</c:formatCode>
                <c:ptCount val="2"/>
                <c:pt idx="0">
                  <c:v>#N/A</c:v>
                </c:pt>
                <c:pt idx="1">
                  <c:v>#N/A</c:v>
                </c:pt>
              </c:numCache>
            </c:numRef>
          </c:yVal>
          <c:smooth val="0"/>
          <c:extLst>
            <c:ext xmlns:c16="http://schemas.microsoft.com/office/drawing/2014/chart" uri="{C3380CC4-5D6E-409C-BE32-E72D297353CC}">
              <c16:uniqueId val="{00000064-D99C-4AF6-89E7-DC5FF432C6FE}"/>
            </c:ext>
          </c:extLst>
        </c:ser>
        <c:ser>
          <c:idx val="74"/>
          <c:order val="46"/>
          <c:tx>
            <c:strRef>
              <c:f>'_TB Analysis'!$AA$283</c:f>
              <c:strCache>
                <c:ptCount val="1"/>
              </c:strCache>
            </c:strRef>
          </c:tx>
          <c:spPr>
            <a:ln w="12700">
              <a:solidFill>
                <a:srgbClr val="000000"/>
              </a:solidFill>
            </a:ln>
          </c:spPr>
          <c:marker>
            <c:symbol val="none"/>
          </c:marker>
          <c:xVal>
            <c:numRef>
              <c:f>'_TB Analysis'!$AB$283:$AC$283</c:f>
              <c:numCache>
                <c:formatCode>General</c:formatCode>
                <c:ptCount val="2"/>
                <c:pt idx="0">
                  <c:v>#N/A</c:v>
                </c:pt>
                <c:pt idx="1">
                  <c:v>#N/A</c:v>
                </c:pt>
              </c:numCache>
            </c:numRef>
          </c:xVal>
          <c:yVal>
            <c:numRef>
              <c:f>'_TB Analysis'!$AD$283:$AE$283</c:f>
              <c:numCache>
                <c:formatCode>General</c:formatCode>
                <c:ptCount val="2"/>
                <c:pt idx="0">
                  <c:v>#N/A</c:v>
                </c:pt>
                <c:pt idx="1">
                  <c:v>#N/A</c:v>
                </c:pt>
              </c:numCache>
            </c:numRef>
          </c:yVal>
          <c:smooth val="0"/>
          <c:extLst>
            <c:ext xmlns:c16="http://schemas.microsoft.com/office/drawing/2014/chart" uri="{C3380CC4-5D6E-409C-BE32-E72D297353CC}">
              <c16:uniqueId val="{00000063-D99C-4AF6-89E7-DC5FF432C6FE}"/>
            </c:ext>
          </c:extLst>
        </c:ser>
        <c:ser>
          <c:idx val="73"/>
          <c:order val="47"/>
          <c:tx>
            <c:strRef>
              <c:f>'_TB Analysis'!$AA$282</c:f>
              <c:strCache>
                <c:ptCount val="1"/>
              </c:strCache>
            </c:strRef>
          </c:tx>
          <c:spPr>
            <a:ln w="12700">
              <a:solidFill>
                <a:srgbClr val="000000"/>
              </a:solidFill>
            </a:ln>
          </c:spPr>
          <c:marker>
            <c:symbol val="none"/>
          </c:marker>
          <c:xVal>
            <c:numRef>
              <c:f>'_TB Analysis'!$AB$282:$AC$282</c:f>
              <c:numCache>
                <c:formatCode>General</c:formatCode>
                <c:ptCount val="2"/>
                <c:pt idx="0">
                  <c:v>#N/A</c:v>
                </c:pt>
                <c:pt idx="1">
                  <c:v>#N/A</c:v>
                </c:pt>
              </c:numCache>
            </c:numRef>
          </c:xVal>
          <c:yVal>
            <c:numRef>
              <c:f>'_TB Analysis'!$AD$282:$AE$282</c:f>
              <c:numCache>
                <c:formatCode>General</c:formatCode>
                <c:ptCount val="2"/>
                <c:pt idx="0">
                  <c:v>#N/A</c:v>
                </c:pt>
                <c:pt idx="1">
                  <c:v>#N/A</c:v>
                </c:pt>
              </c:numCache>
            </c:numRef>
          </c:yVal>
          <c:smooth val="0"/>
          <c:extLst>
            <c:ext xmlns:c16="http://schemas.microsoft.com/office/drawing/2014/chart" uri="{C3380CC4-5D6E-409C-BE32-E72D297353CC}">
              <c16:uniqueId val="{00000062-D99C-4AF6-89E7-DC5FF432C6FE}"/>
            </c:ext>
          </c:extLst>
        </c:ser>
        <c:ser>
          <c:idx val="72"/>
          <c:order val="48"/>
          <c:tx>
            <c:strRef>
              <c:f>'_TB Analysis'!$AA$281</c:f>
              <c:strCache>
                <c:ptCount val="1"/>
              </c:strCache>
            </c:strRef>
          </c:tx>
          <c:spPr>
            <a:ln w="12700">
              <a:solidFill>
                <a:srgbClr val="000000"/>
              </a:solidFill>
            </a:ln>
          </c:spPr>
          <c:marker>
            <c:symbol val="none"/>
          </c:marker>
          <c:xVal>
            <c:numRef>
              <c:f>'_TB Analysis'!$AB$281:$AC$281</c:f>
              <c:numCache>
                <c:formatCode>General</c:formatCode>
                <c:ptCount val="2"/>
                <c:pt idx="0">
                  <c:v>#N/A</c:v>
                </c:pt>
                <c:pt idx="1">
                  <c:v>#N/A</c:v>
                </c:pt>
              </c:numCache>
            </c:numRef>
          </c:xVal>
          <c:yVal>
            <c:numRef>
              <c:f>'_TB Analysis'!$AD$281:$AE$281</c:f>
              <c:numCache>
                <c:formatCode>General</c:formatCode>
                <c:ptCount val="2"/>
                <c:pt idx="0">
                  <c:v>#N/A</c:v>
                </c:pt>
                <c:pt idx="1">
                  <c:v>#N/A</c:v>
                </c:pt>
              </c:numCache>
            </c:numRef>
          </c:yVal>
          <c:smooth val="0"/>
          <c:extLst>
            <c:ext xmlns:c16="http://schemas.microsoft.com/office/drawing/2014/chart" uri="{C3380CC4-5D6E-409C-BE32-E72D297353CC}">
              <c16:uniqueId val="{00000061-D99C-4AF6-89E7-DC5FF432C6FE}"/>
            </c:ext>
          </c:extLst>
        </c:ser>
        <c:ser>
          <c:idx val="71"/>
          <c:order val="49"/>
          <c:tx>
            <c:strRef>
              <c:f>'_TB Analysis'!$AA$280</c:f>
              <c:strCache>
                <c:ptCount val="1"/>
              </c:strCache>
            </c:strRef>
          </c:tx>
          <c:spPr>
            <a:ln w="12700">
              <a:solidFill>
                <a:srgbClr val="000000"/>
              </a:solidFill>
            </a:ln>
          </c:spPr>
          <c:marker>
            <c:symbol val="none"/>
          </c:marker>
          <c:xVal>
            <c:numRef>
              <c:f>'_TB Analysis'!$AB$280:$AC$280</c:f>
              <c:numCache>
                <c:formatCode>General</c:formatCode>
                <c:ptCount val="2"/>
                <c:pt idx="0">
                  <c:v>#N/A</c:v>
                </c:pt>
                <c:pt idx="1">
                  <c:v>#N/A</c:v>
                </c:pt>
              </c:numCache>
            </c:numRef>
          </c:xVal>
          <c:yVal>
            <c:numRef>
              <c:f>'_TB Analysis'!$AD$280:$AE$280</c:f>
              <c:numCache>
                <c:formatCode>General</c:formatCode>
                <c:ptCount val="2"/>
                <c:pt idx="0">
                  <c:v>#N/A</c:v>
                </c:pt>
                <c:pt idx="1">
                  <c:v>#N/A</c:v>
                </c:pt>
              </c:numCache>
            </c:numRef>
          </c:yVal>
          <c:smooth val="0"/>
          <c:extLst>
            <c:ext xmlns:c16="http://schemas.microsoft.com/office/drawing/2014/chart" uri="{C3380CC4-5D6E-409C-BE32-E72D297353CC}">
              <c16:uniqueId val="{00000060-D99C-4AF6-89E7-DC5FF432C6FE}"/>
            </c:ext>
          </c:extLst>
        </c:ser>
        <c:ser>
          <c:idx val="70"/>
          <c:order val="50"/>
          <c:tx>
            <c:strRef>
              <c:f>'_TB Analysis'!$AA$279</c:f>
              <c:strCache>
                <c:ptCount val="1"/>
              </c:strCache>
            </c:strRef>
          </c:tx>
          <c:spPr>
            <a:ln w="12700">
              <a:solidFill>
                <a:srgbClr val="000000"/>
              </a:solidFill>
            </a:ln>
          </c:spPr>
          <c:marker>
            <c:symbol val="none"/>
          </c:marker>
          <c:xVal>
            <c:numRef>
              <c:f>'_TB Analysis'!$AB$279:$AC$279</c:f>
              <c:numCache>
                <c:formatCode>General</c:formatCode>
                <c:ptCount val="2"/>
                <c:pt idx="0">
                  <c:v>#N/A</c:v>
                </c:pt>
                <c:pt idx="1">
                  <c:v>#N/A</c:v>
                </c:pt>
              </c:numCache>
            </c:numRef>
          </c:xVal>
          <c:yVal>
            <c:numRef>
              <c:f>'_TB Analysis'!$AD$279:$AE$279</c:f>
              <c:numCache>
                <c:formatCode>General</c:formatCode>
                <c:ptCount val="2"/>
                <c:pt idx="0">
                  <c:v>#N/A</c:v>
                </c:pt>
                <c:pt idx="1">
                  <c:v>#N/A</c:v>
                </c:pt>
              </c:numCache>
            </c:numRef>
          </c:yVal>
          <c:smooth val="0"/>
          <c:extLst>
            <c:ext xmlns:c16="http://schemas.microsoft.com/office/drawing/2014/chart" uri="{C3380CC4-5D6E-409C-BE32-E72D297353CC}">
              <c16:uniqueId val="{0000005F-D99C-4AF6-89E7-DC5FF432C6FE}"/>
            </c:ext>
          </c:extLst>
        </c:ser>
        <c:ser>
          <c:idx val="69"/>
          <c:order val="51"/>
          <c:tx>
            <c:strRef>
              <c:f>'_TB Analysis'!$AA$278</c:f>
              <c:strCache>
                <c:ptCount val="1"/>
              </c:strCache>
            </c:strRef>
          </c:tx>
          <c:spPr>
            <a:ln w="12700">
              <a:solidFill>
                <a:srgbClr val="000000"/>
              </a:solidFill>
            </a:ln>
          </c:spPr>
          <c:marker>
            <c:symbol val="none"/>
          </c:marker>
          <c:xVal>
            <c:numRef>
              <c:f>'_TB Analysis'!$AB$278:$AC$278</c:f>
              <c:numCache>
                <c:formatCode>General</c:formatCode>
                <c:ptCount val="2"/>
                <c:pt idx="0">
                  <c:v>#N/A</c:v>
                </c:pt>
                <c:pt idx="1">
                  <c:v>#N/A</c:v>
                </c:pt>
              </c:numCache>
            </c:numRef>
          </c:xVal>
          <c:yVal>
            <c:numRef>
              <c:f>'_TB Analysis'!$AD$278:$AE$278</c:f>
              <c:numCache>
                <c:formatCode>General</c:formatCode>
                <c:ptCount val="2"/>
                <c:pt idx="0">
                  <c:v>#N/A</c:v>
                </c:pt>
                <c:pt idx="1">
                  <c:v>#N/A</c:v>
                </c:pt>
              </c:numCache>
            </c:numRef>
          </c:yVal>
          <c:smooth val="0"/>
          <c:extLst>
            <c:ext xmlns:c16="http://schemas.microsoft.com/office/drawing/2014/chart" uri="{C3380CC4-5D6E-409C-BE32-E72D297353CC}">
              <c16:uniqueId val="{0000005E-D99C-4AF6-89E7-DC5FF432C6FE}"/>
            </c:ext>
          </c:extLst>
        </c:ser>
        <c:ser>
          <c:idx val="68"/>
          <c:order val="52"/>
          <c:tx>
            <c:strRef>
              <c:f>'_TB Analysis'!$AA$277</c:f>
              <c:strCache>
                <c:ptCount val="1"/>
              </c:strCache>
            </c:strRef>
          </c:tx>
          <c:spPr>
            <a:ln w="12700">
              <a:solidFill>
                <a:srgbClr val="000000"/>
              </a:solidFill>
            </a:ln>
          </c:spPr>
          <c:marker>
            <c:symbol val="none"/>
          </c:marker>
          <c:xVal>
            <c:numRef>
              <c:f>'_TB Analysis'!$AB$277:$AC$277</c:f>
              <c:numCache>
                <c:formatCode>General</c:formatCode>
                <c:ptCount val="2"/>
                <c:pt idx="0">
                  <c:v>#N/A</c:v>
                </c:pt>
                <c:pt idx="1">
                  <c:v>#N/A</c:v>
                </c:pt>
              </c:numCache>
            </c:numRef>
          </c:xVal>
          <c:yVal>
            <c:numRef>
              <c:f>'_TB Analysis'!$AD$277:$AE$277</c:f>
              <c:numCache>
                <c:formatCode>General</c:formatCode>
                <c:ptCount val="2"/>
                <c:pt idx="0">
                  <c:v>#N/A</c:v>
                </c:pt>
                <c:pt idx="1">
                  <c:v>#N/A</c:v>
                </c:pt>
              </c:numCache>
            </c:numRef>
          </c:yVal>
          <c:smooth val="0"/>
          <c:extLst>
            <c:ext xmlns:c16="http://schemas.microsoft.com/office/drawing/2014/chart" uri="{C3380CC4-5D6E-409C-BE32-E72D297353CC}">
              <c16:uniqueId val="{0000005D-D99C-4AF6-89E7-DC5FF432C6FE}"/>
            </c:ext>
          </c:extLst>
        </c:ser>
        <c:ser>
          <c:idx val="67"/>
          <c:order val="53"/>
          <c:tx>
            <c:strRef>
              <c:f>'_TB Analysis'!$AA$276</c:f>
              <c:strCache>
                <c:ptCount val="1"/>
              </c:strCache>
            </c:strRef>
          </c:tx>
          <c:spPr>
            <a:ln w="12700">
              <a:solidFill>
                <a:srgbClr val="000000"/>
              </a:solidFill>
            </a:ln>
          </c:spPr>
          <c:marker>
            <c:symbol val="none"/>
          </c:marker>
          <c:xVal>
            <c:numRef>
              <c:f>'_TB Analysis'!$AB$276:$AC$276</c:f>
              <c:numCache>
                <c:formatCode>General</c:formatCode>
                <c:ptCount val="2"/>
                <c:pt idx="0">
                  <c:v>#N/A</c:v>
                </c:pt>
                <c:pt idx="1">
                  <c:v>#N/A</c:v>
                </c:pt>
              </c:numCache>
            </c:numRef>
          </c:xVal>
          <c:yVal>
            <c:numRef>
              <c:f>'_TB Analysis'!$AD$276:$AE$276</c:f>
              <c:numCache>
                <c:formatCode>General</c:formatCode>
                <c:ptCount val="2"/>
                <c:pt idx="0">
                  <c:v>#N/A</c:v>
                </c:pt>
                <c:pt idx="1">
                  <c:v>#N/A</c:v>
                </c:pt>
              </c:numCache>
            </c:numRef>
          </c:yVal>
          <c:smooth val="0"/>
          <c:extLst>
            <c:ext xmlns:c16="http://schemas.microsoft.com/office/drawing/2014/chart" uri="{C3380CC4-5D6E-409C-BE32-E72D297353CC}">
              <c16:uniqueId val="{0000005C-D99C-4AF6-89E7-DC5FF432C6FE}"/>
            </c:ext>
          </c:extLst>
        </c:ser>
        <c:ser>
          <c:idx val="66"/>
          <c:order val="54"/>
          <c:tx>
            <c:strRef>
              <c:f>'_TB Analysis'!$AA$275</c:f>
              <c:strCache>
                <c:ptCount val="1"/>
              </c:strCache>
            </c:strRef>
          </c:tx>
          <c:spPr>
            <a:ln w="12700">
              <a:solidFill>
                <a:srgbClr val="000000"/>
              </a:solidFill>
            </a:ln>
          </c:spPr>
          <c:marker>
            <c:symbol val="none"/>
          </c:marker>
          <c:xVal>
            <c:numRef>
              <c:f>'_TB Analysis'!$AB$275:$AC$275</c:f>
              <c:numCache>
                <c:formatCode>General</c:formatCode>
                <c:ptCount val="2"/>
                <c:pt idx="0">
                  <c:v>#N/A</c:v>
                </c:pt>
                <c:pt idx="1">
                  <c:v>#N/A</c:v>
                </c:pt>
              </c:numCache>
            </c:numRef>
          </c:xVal>
          <c:yVal>
            <c:numRef>
              <c:f>'_TB Analysis'!$AD$275:$AE$275</c:f>
              <c:numCache>
                <c:formatCode>General</c:formatCode>
                <c:ptCount val="2"/>
                <c:pt idx="0">
                  <c:v>#N/A</c:v>
                </c:pt>
                <c:pt idx="1">
                  <c:v>#N/A</c:v>
                </c:pt>
              </c:numCache>
            </c:numRef>
          </c:yVal>
          <c:smooth val="0"/>
          <c:extLst>
            <c:ext xmlns:c16="http://schemas.microsoft.com/office/drawing/2014/chart" uri="{C3380CC4-5D6E-409C-BE32-E72D297353CC}">
              <c16:uniqueId val="{0000005B-D99C-4AF6-89E7-DC5FF432C6FE}"/>
            </c:ext>
          </c:extLst>
        </c:ser>
        <c:ser>
          <c:idx val="65"/>
          <c:order val="55"/>
          <c:tx>
            <c:strRef>
              <c:f>'_TB Analysis'!$AA$274</c:f>
              <c:strCache>
                <c:ptCount val="1"/>
              </c:strCache>
            </c:strRef>
          </c:tx>
          <c:spPr>
            <a:ln w="12700">
              <a:solidFill>
                <a:srgbClr val="000000"/>
              </a:solidFill>
            </a:ln>
          </c:spPr>
          <c:marker>
            <c:symbol val="none"/>
          </c:marker>
          <c:xVal>
            <c:numRef>
              <c:f>'_TB Analysis'!$AB$274:$AC$274</c:f>
              <c:numCache>
                <c:formatCode>General</c:formatCode>
                <c:ptCount val="2"/>
                <c:pt idx="0">
                  <c:v>#N/A</c:v>
                </c:pt>
                <c:pt idx="1">
                  <c:v>#N/A</c:v>
                </c:pt>
              </c:numCache>
            </c:numRef>
          </c:xVal>
          <c:yVal>
            <c:numRef>
              <c:f>'_TB Analysis'!$AD$274:$AE$274</c:f>
              <c:numCache>
                <c:formatCode>General</c:formatCode>
                <c:ptCount val="2"/>
                <c:pt idx="0">
                  <c:v>#N/A</c:v>
                </c:pt>
                <c:pt idx="1">
                  <c:v>#N/A</c:v>
                </c:pt>
              </c:numCache>
            </c:numRef>
          </c:yVal>
          <c:smooth val="0"/>
          <c:extLst>
            <c:ext xmlns:c16="http://schemas.microsoft.com/office/drawing/2014/chart" uri="{C3380CC4-5D6E-409C-BE32-E72D297353CC}">
              <c16:uniqueId val="{0000005A-D99C-4AF6-89E7-DC5FF432C6FE}"/>
            </c:ext>
          </c:extLst>
        </c:ser>
        <c:ser>
          <c:idx val="64"/>
          <c:order val="56"/>
          <c:tx>
            <c:strRef>
              <c:f>'_TB Analysis'!$AA$273</c:f>
              <c:strCache>
                <c:ptCount val="1"/>
              </c:strCache>
            </c:strRef>
          </c:tx>
          <c:spPr>
            <a:ln w="12700">
              <a:solidFill>
                <a:srgbClr val="000000"/>
              </a:solidFill>
            </a:ln>
          </c:spPr>
          <c:marker>
            <c:symbol val="none"/>
          </c:marker>
          <c:xVal>
            <c:numRef>
              <c:f>'_TB Analysis'!$AB$273:$AC$273</c:f>
              <c:numCache>
                <c:formatCode>General</c:formatCode>
                <c:ptCount val="2"/>
                <c:pt idx="0">
                  <c:v>#N/A</c:v>
                </c:pt>
                <c:pt idx="1">
                  <c:v>#N/A</c:v>
                </c:pt>
              </c:numCache>
            </c:numRef>
          </c:xVal>
          <c:yVal>
            <c:numRef>
              <c:f>'_TB Analysis'!$AD$273:$AE$273</c:f>
              <c:numCache>
                <c:formatCode>General</c:formatCode>
                <c:ptCount val="2"/>
                <c:pt idx="0">
                  <c:v>#N/A</c:v>
                </c:pt>
                <c:pt idx="1">
                  <c:v>#N/A</c:v>
                </c:pt>
              </c:numCache>
            </c:numRef>
          </c:yVal>
          <c:smooth val="0"/>
          <c:extLst>
            <c:ext xmlns:c16="http://schemas.microsoft.com/office/drawing/2014/chart" uri="{C3380CC4-5D6E-409C-BE32-E72D297353CC}">
              <c16:uniqueId val="{00000059-D99C-4AF6-89E7-DC5FF432C6FE}"/>
            </c:ext>
          </c:extLst>
        </c:ser>
        <c:ser>
          <c:idx val="63"/>
          <c:order val="57"/>
          <c:tx>
            <c:strRef>
              <c:f>'_TB Analysis'!$AA$272</c:f>
              <c:strCache>
                <c:ptCount val="1"/>
              </c:strCache>
            </c:strRef>
          </c:tx>
          <c:spPr>
            <a:ln w="12700">
              <a:solidFill>
                <a:srgbClr val="000000"/>
              </a:solidFill>
            </a:ln>
          </c:spPr>
          <c:marker>
            <c:symbol val="none"/>
          </c:marker>
          <c:xVal>
            <c:numRef>
              <c:f>'_TB Analysis'!$AB$272:$AC$272</c:f>
              <c:numCache>
                <c:formatCode>General</c:formatCode>
                <c:ptCount val="2"/>
                <c:pt idx="0">
                  <c:v>#N/A</c:v>
                </c:pt>
                <c:pt idx="1">
                  <c:v>#N/A</c:v>
                </c:pt>
              </c:numCache>
            </c:numRef>
          </c:xVal>
          <c:yVal>
            <c:numRef>
              <c:f>'_TB Analysis'!$AD$272:$AE$272</c:f>
              <c:numCache>
                <c:formatCode>General</c:formatCode>
                <c:ptCount val="2"/>
                <c:pt idx="0">
                  <c:v>#N/A</c:v>
                </c:pt>
                <c:pt idx="1">
                  <c:v>#N/A</c:v>
                </c:pt>
              </c:numCache>
            </c:numRef>
          </c:yVal>
          <c:smooth val="0"/>
          <c:extLst>
            <c:ext xmlns:c16="http://schemas.microsoft.com/office/drawing/2014/chart" uri="{C3380CC4-5D6E-409C-BE32-E72D297353CC}">
              <c16:uniqueId val="{00000058-D99C-4AF6-89E7-DC5FF432C6FE}"/>
            </c:ext>
          </c:extLst>
        </c:ser>
        <c:ser>
          <c:idx val="62"/>
          <c:order val="58"/>
          <c:tx>
            <c:strRef>
              <c:f>'_TB Analysis'!$AA$271</c:f>
              <c:strCache>
                <c:ptCount val="1"/>
              </c:strCache>
            </c:strRef>
          </c:tx>
          <c:spPr>
            <a:ln w="12700">
              <a:solidFill>
                <a:srgbClr val="000000"/>
              </a:solidFill>
            </a:ln>
          </c:spPr>
          <c:marker>
            <c:symbol val="none"/>
          </c:marker>
          <c:xVal>
            <c:numRef>
              <c:f>'_TB Analysis'!$AB$271:$AC$271</c:f>
              <c:numCache>
                <c:formatCode>General</c:formatCode>
                <c:ptCount val="2"/>
                <c:pt idx="0">
                  <c:v>#N/A</c:v>
                </c:pt>
                <c:pt idx="1">
                  <c:v>#N/A</c:v>
                </c:pt>
              </c:numCache>
            </c:numRef>
          </c:xVal>
          <c:yVal>
            <c:numRef>
              <c:f>'_TB Analysis'!$AD$271:$AE$271</c:f>
              <c:numCache>
                <c:formatCode>General</c:formatCode>
                <c:ptCount val="2"/>
                <c:pt idx="0">
                  <c:v>#N/A</c:v>
                </c:pt>
                <c:pt idx="1">
                  <c:v>#N/A</c:v>
                </c:pt>
              </c:numCache>
            </c:numRef>
          </c:yVal>
          <c:smooth val="0"/>
          <c:extLst>
            <c:ext xmlns:c16="http://schemas.microsoft.com/office/drawing/2014/chart" uri="{C3380CC4-5D6E-409C-BE32-E72D297353CC}">
              <c16:uniqueId val="{00000057-D99C-4AF6-89E7-DC5FF432C6FE}"/>
            </c:ext>
          </c:extLst>
        </c:ser>
        <c:ser>
          <c:idx val="61"/>
          <c:order val="59"/>
          <c:tx>
            <c:strRef>
              <c:f>'_TB Analysis'!$AA$270</c:f>
              <c:strCache>
                <c:ptCount val="1"/>
              </c:strCache>
            </c:strRef>
          </c:tx>
          <c:spPr>
            <a:ln w="12700">
              <a:solidFill>
                <a:srgbClr val="000000"/>
              </a:solidFill>
            </a:ln>
          </c:spPr>
          <c:marker>
            <c:symbol val="none"/>
          </c:marker>
          <c:xVal>
            <c:numRef>
              <c:f>'_TB Analysis'!$AB$270:$AC$270</c:f>
              <c:numCache>
                <c:formatCode>General</c:formatCode>
                <c:ptCount val="2"/>
                <c:pt idx="0">
                  <c:v>#N/A</c:v>
                </c:pt>
                <c:pt idx="1">
                  <c:v>#N/A</c:v>
                </c:pt>
              </c:numCache>
            </c:numRef>
          </c:xVal>
          <c:yVal>
            <c:numRef>
              <c:f>'_TB Analysis'!$AD$270:$AE$270</c:f>
              <c:numCache>
                <c:formatCode>General</c:formatCode>
                <c:ptCount val="2"/>
                <c:pt idx="0">
                  <c:v>#N/A</c:v>
                </c:pt>
                <c:pt idx="1">
                  <c:v>#N/A</c:v>
                </c:pt>
              </c:numCache>
            </c:numRef>
          </c:yVal>
          <c:smooth val="0"/>
          <c:extLst>
            <c:ext xmlns:c16="http://schemas.microsoft.com/office/drawing/2014/chart" uri="{C3380CC4-5D6E-409C-BE32-E72D297353CC}">
              <c16:uniqueId val="{00000056-D99C-4AF6-89E7-DC5FF432C6FE}"/>
            </c:ext>
          </c:extLst>
        </c:ser>
        <c:ser>
          <c:idx val="60"/>
          <c:order val="60"/>
          <c:tx>
            <c:strRef>
              <c:f>'_TB Analysis'!$AA$269</c:f>
              <c:strCache>
                <c:ptCount val="1"/>
              </c:strCache>
            </c:strRef>
          </c:tx>
          <c:spPr>
            <a:ln w="12700">
              <a:solidFill>
                <a:srgbClr val="000000"/>
              </a:solidFill>
            </a:ln>
          </c:spPr>
          <c:marker>
            <c:symbol val="none"/>
          </c:marker>
          <c:xVal>
            <c:numRef>
              <c:f>'_TB Analysis'!$AB$269:$AC$269</c:f>
              <c:numCache>
                <c:formatCode>General</c:formatCode>
                <c:ptCount val="2"/>
                <c:pt idx="0">
                  <c:v>#N/A</c:v>
                </c:pt>
                <c:pt idx="1">
                  <c:v>#N/A</c:v>
                </c:pt>
              </c:numCache>
            </c:numRef>
          </c:xVal>
          <c:yVal>
            <c:numRef>
              <c:f>'_TB Analysis'!$AD$269:$AE$269</c:f>
              <c:numCache>
                <c:formatCode>General</c:formatCode>
                <c:ptCount val="2"/>
                <c:pt idx="0">
                  <c:v>#N/A</c:v>
                </c:pt>
                <c:pt idx="1">
                  <c:v>#N/A</c:v>
                </c:pt>
              </c:numCache>
            </c:numRef>
          </c:yVal>
          <c:smooth val="0"/>
          <c:extLst>
            <c:ext xmlns:c16="http://schemas.microsoft.com/office/drawing/2014/chart" uri="{C3380CC4-5D6E-409C-BE32-E72D297353CC}">
              <c16:uniqueId val="{00000055-D99C-4AF6-89E7-DC5FF432C6FE}"/>
            </c:ext>
          </c:extLst>
        </c:ser>
        <c:ser>
          <c:idx val="59"/>
          <c:order val="61"/>
          <c:tx>
            <c:strRef>
              <c:f>'_TB Analysis'!$AA$268</c:f>
              <c:strCache>
                <c:ptCount val="1"/>
              </c:strCache>
            </c:strRef>
          </c:tx>
          <c:spPr>
            <a:ln w="12700">
              <a:solidFill>
                <a:srgbClr val="000000"/>
              </a:solidFill>
            </a:ln>
          </c:spPr>
          <c:marker>
            <c:symbol val="none"/>
          </c:marker>
          <c:xVal>
            <c:numRef>
              <c:f>'_TB Analysis'!$AB$268:$AC$268</c:f>
              <c:numCache>
                <c:formatCode>General</c:formatCode>
                <c:ptCount val="2"/>
                <c:pt idx="0">
                  <c:v>#N/A</c:v>
                </c:pt>
                <c:pt idx="1">
                  <c:v>#N/A</c:v>
                </c:pt>
              </c:numCache>
            </c:numRef>
          </c:xVal>
          <c:yVal>
            <c:numRef>
              <c:f>'_TB Analysis'!$AD$268:$AE$268</c:f>
              <c:numCache>
                <c:formatCode>General</c:formatCode>
                <c:ptCount val="2"/>
                <c:pt idx="0">
                  <c:v>#N/A</c:v>
                </c:pt>
                <c:pt idx="1">
                  <c:v>#N/A</c:v>
                </c:pt>
              </c:numCache>
            </c:numRef>
          </c:yVal>
          <c:smooth val="0"/>
          <c:extLst>
            <c:ext xmlns:c16="http://schemas.microsoft.com/office/drawing/2014/chart" uri="{C3380CC4-5D6E-409C-BE32-E72D297353CC}">
              <c16:uniqueId val="{00000054-D99C-4AF6-89E7-DC5FF432C6FE}"/>
            </c:ext>
          </c:extLst>
        </c:ser>
        <c:ser>
          <c:idx val="58"/>
          <c:order val="62"/>
          <c:tx>
            <c:strRef>
              <c:f>'_TB Analysis'!$AA$267</c:f>
              <c:strCache>
                <c:ptCount val="1"/>
              </c:strCache>
            </c:strRef>
          </c:tx>
          <c:spPr>
            <a:ln w="12700">
              <a:solidFill>
                <a:srgbClr val="000000"/>
              </a:solidFill>
            </a:ln>
          </c:spPr>
          <c:marker>
            <c:symbol val="none"/>
          </c:marker>
          <c:xVal>
            <c:numRef>
              <c:f>'_TB Analysis'!$AB$267:$AC$267</c:f>
              <c:numCache>
                <c:formatCode>General</c:formatCode>
                <c:ptCount val="2"/>
                <c:pt idx="0">
                  <c:v>#N/A</c:v>
                </c:pt>
                <c:pt idx="1">
                  <c:v>#N/A</c:v>
                </c:pt>
              </c:numCache>
            </c:numRef>
          </c:xVal>
          <c:yVal>
            <c:numRef>
              <c:f>'_TB Analysis'!$AD$267:$AE$267</c:f>
              <c:numCache>
                <c:formatCode>General</c:formatCode>
                <c:ptCount val="2"/>
                <c:pt idx="0">
                  <c:v>#N/A</c:v>
                </c:pt>
                <c:pt idx="1">
                  <c:v>#N/A</c:v>
                </c:pt>
              </c:numCache>
            </c:numRef>
          </c:yVal>
          <c:smooth val="0"/>
          <c:extLst>
            <c:ext xmlns:c16="http://schemas.microsoft.com/office/drawing/2014/chart" uri="{C3380CC4-5D6E-409C-BE32-E72D297353CC}">
              <c16:uniqueId val="{00000053-D99C-4AF6-89E7-DC5FF432C6FE}"/>
            </c:ext>
          </c:extLst>
        </c:ser>
        <c:ser>
          <c:idx val="57"/>
          <c:order val="63"/>
          <c:tx>
            <c:strRef>
              <c:f>'_TB Analysis'!$AA$266</c:f>
              <c:strCache>
                <c:ptCount val="1"/>
              </c:strCache>
            </c:strRef>
          </c:tx>
          <c:spPr>
            <a:ln w="12700">
              <a:solidFill>
                <a:srgbClr val="000000"/>
              </a:solidFill>
            </a:ln>
          </c:spPr>
          <c:marker>
            <c:symbol val="none"/>
          </c:marker>
          <c:xVal>
            <c:numRef>
              <c:f>'_TB Analysis'!$AB$266:$AC$266</c:f>
              <c:numCache>
                <c:formatCode>General</c:formatCode>
                <c:ptCount val="2"/>
                <c:pt idx="0">
                  <c:v>#N/A</c:v>
                </c:pt>
                <c:pt idx="1">
                  <c:v>#N/A</c:v>
                </c:pt>
              </c:numCache>
            </c:numRef>
          </c:xVal>
          <c:yVal>
            <c:numRef>
              <c:f>'_TB Analysis'!$AD$266:$AE$266</c:f>
              <c:numCache>
                <c:formatCode>General</c:formatCode>
                <c:ptCount val="2"/>
                <c:pt idx="0">
                  <c:v>#N/A</c:v>
                </c:pt>
                <c:pt idx="1">
                  <c:v>#N/A</c:v>
                </c:pt>
              </c:numCache>
            </c:numRef>
          </c:yVal>
          <c:smooth val="0"/>
          <c:extLst>
            <c:ext xmlns:c16="http://schemas.microsoft.com/office/drawing/2014/chart" uri="{C3380CC4-5D6E-409C-BE32-E72D297353CC}">
              <c16:uniqueId val="{00000052-D99C-4AF6-89E7-DC5FF432C6FE}"/>
            </c:ext>
          </c:extLst>
        </c:ser>
        <c:ser>
          <c:idx val="56"/>
          <c:order val="64"/>
          <c:tx>
            <c:strRef>
              <c:f>'_TB Analysis'!$AA$265</c:f>
              <c:strCache>
                <c:ptCount val="1"/>
              </c:strCache>
            </c:strRef>
          </c:tx>
          <c:spPr>
            <a:ln w="12700">
              <a:solidFill>
                <a:srgbClr val="000000"/>
              </a:solidFill>
            </a:ln>
          </c:spPr>
          <c:marker>
            <c:symbol val="none"/>
          </c:marker>
          <c:xVal>
            <c:numRef>
              <c:f>'_TB Analysis'!$AB$265:$AC$265</c:f>
              <c:numCache>
                <c:formatCode>General</c:formatCode>
                <c:ptCount val="2"/>
                <c:pt idx="0">
                  <c:v>#N/A</c:v>
                </c:pt>
                <c:pt idx="1">
                  <c:v>#N/A</c:v>
                </c:pt>
              </c:numCache>
            </c:numRef>
          </c:xVal>
          <c:yVal>
            <c:numRef>
              <c:f>'_TB Analysis'!$AD$265:$AE$265</c:f>
              <c:numCache>
                <c:formatCode>General</c:formatCode>
                <c:ptCount val="2"/>
                <c:pt idx="0">
                  <c:v>#N/A</c:v>
                </c:pt>
                <c:pt idx="1">
                  <c:v>#N/A</c:v>
                </c:pt>
              </c:numCache>
            </c:numRef>
          </c:yVal>
          <c:smooth val="0"/>
          <c:extLst>
            <c:ext xmlns:c16="http://schemas.microsoft.com/office/drawing/2014/chart" uri="{C3380CC4-5D6E-409C-BE32-E72D297353CC}">
              <c16:uniqueId val="{00000051-D99C-4AF6-89E7-DC5FF432C6FE}"/>
            </c:ext>
          </c:extLst>
        </c:ser>
        <c:ser>
          <c:idx val="55"/>
          <c:order val="65"/>
          <c:tx>
            <c:strRef>
              <c:f>'_TB Analysis'!$AA$264</c:f>
              <c:strCache>
                <c:ptCount val="1"/>
              </c:strCache>
            </c:strRef>
          </c:tx>
          <c:spPr>
            <a:ln w="12700">
              <a:solidFill>
                <a:srgbClr val="000000"/>
              </a:solidFill>
            </a:ln>
          </c:spPr>
          <c:marker>
            <c:symbol val="none"/>
          </c:marker>
          <c:xVal>
            <c:numRef>
              <c:f>'_TB Analysis'!$AB$264:$AC$264</c:f>
              <c:numCache>
                <c:formatCode>General</c:formatCode>
                <c:ptCount val="2"/>
                <c:pt idx="0">
                  <c:v>#N/A</c:v>
                </c:pt>
                <c:pt idx="1">
                  <c:v>#N/A</c:v>
                </c:pt>
              </c:numCache>
            </c:numRef>
          </c:xVal>
          <c:yVal>
            <c:numRef>
              <c:f>'_TB Analysis'!$AD$264:$AE$264</c:f>
              <c:numCache>
                <c:formatCode>General</c:formatCode>
                <c:ptCount val="2"/>
                <c:pt idx="0">
                  <c:v>#N/A</c:v>
                </c:pt>
                <c:pt idx="1">
                  <c:v>#N/A</c:v>
                </c:pt>
              </c:numCache>
            </c:numRef>
          </c:yVal>
          <c:smooth val="0"/>
          <c:extLst>
            <c:ext xmlns:c16="http://schemas.microsoft.com/office/drawing/2014/chart" uri="{C3380CC4-5D6E-409C-BE32-E72D297353CC}">
              <c16:uniqueId val="{00000050-D99C-4AF6-89E7-DC5FF432C6FE}"/>
            </c:ext>
          </c:extLst>
        </c:ser>
        <c:ser>
          <c:idx val="54"/>
          <c:order val="66"/>
          <c:tx>
            <c:strRef>
              <c:f>'_TB Analysis'!$AA$263</c:f>
              <c:strCache>
                <c:ptCount val="1"/>
              </c:strCache>
            </c:strRef>
          </c:tx>
          <c:spPr>
            <a:ln w="12700">
              <a:solidFill>
                <a:srgbClr val="000000"/>
              </a:solidFill>
            </a:ln>
          </c:spPr>
          <c:marker>
            <c:symbol val="none"/>
          </c:marker>
          <c:xVal>
            <c:numRef>
              <c:f>'_TB Analysis'!$AB$263:$AC$263</c:f>
              <c:numCache>
                <c:formatCode>General</c:formatCode>
                <c:ptCount val="2"/>
                <c:pt idx="0">
                  <c:v>#N/A</c:v>
                </c:pt>
                <c:pt idx="1">
                  <c:v>#N/A</c:v>
                </c:pt>
              </c:numCache>
            </c:numRef>
          </c:xVal>
          <c:yVal>
            <c:numRef>
              <c:f>'_TB Analysis'!$AD$263:$AE$263</c:f>
              <c:numCache>
                <c:formatCode>General</c:formatCode>
                <c:ptCount val="2"/>
                <c:pt idx="0">
                  <c:v>#N/A</c:v>
                </c:pt>
                <c:pt idx="1">
                  <c:v>#N/A</c:v>
                </c:pt>
              </c:numCache>
            </c:numRef>
          </c:yVal>
          <c:smooth val="0"/>
          <c:extLst>
            <c:ext xmlns:c16="http://schemas.microsoft.com/office/drawing/2014/chart" uri="{C3380CC4-5D6E-409C-BE32-E72D297353CC}">
              <c16:uniqueId val="{0000004F-D99C-4AF6-89E7-DC5FF432C6FE}"/>
            </c:ext>
          </c:extLst>
        </c:ser>
        <c:ser>
          <c:idx val="53"/>
          <c:order val="67"/>
          <c:tx>
            <c:strRef>
              <c:f>'_TB Analysis'!$AA$262</c:f>
              <c:strCache>
                <c:ptCount val="1"/>
              </c:strCache>
            </c:strRef>
          </c:tx>
          <c:spPr>
            <a:ln w="12700">
              <a:solidFill>
                <a:srgbClr val="000000"/>
              </a:solidFill>
            </a:ln>
          </c:spPr>
          <c:marker>
            <c:symbol val="none"/>
          </c:marker>
          <c:xVal>
            <c:numRef>
              <c:f>'_TB Analysis'!$AB$262:$AC$262</c:f>
              <c:numCache>
                <c:formatCode>General</c:formatCode>
                <c:ptCount val="2"/>
                <c:pt idx="0">
                  <c:v>#N/A</c:v>
                </c:pt>
                <c:pt idx="1">
                  <c:v>#N/A</c:v>
                </c:pt>
              </c:numCache>
            </c:numRef>
          </c:xVal>
          <c:yVal>
            <c:numRef>
              <c:f>'_TB Analysis'!$AD$262:$AE$262</c:f>
              <c:numCache>
                <c:formatCode>General</c:formatCode>
                <c:ptCount val="2"/>
                <c:pt idx="0">
                  <c:v>#N/A</c:v>
                </c:pt>
                <c:pt idx="1">
                  <c:v>#N/A</c:v>
                </c:pt>
              </c:numCache>
            </c:numRef>
          </c:yVal>
          <c:smooth val="0"/>
          <c:extLst>
            <c:ext xmlns:c16="http://schemas.microsoft.com/office/drawing/2014/chart" uri="{C3380CC4-5D6E-409C-BE32-E72D297353CC}">
              <c16:uniqueId val="{0000004E-D99C-4AF6-89E7-DC5FF432C6FE}"/>
            </c:ext>
          </c:extLst>
        </c:ser>
        <c:ser>
          <c:idx val="52"/>
          <c:order val="68"/>
          <c:tx>
            <c:strRef>
              <c:f>'_TB Analysis'!$AA$261</c:f>
              <c:strCache>
                <c:ptCount val="1"/>
              </c:strCache>
            </c:strRef>
          </c:tx>
          <c:spPr>
            <a:ln w="12700">
              <a:solidFill>
                <a:srgbClr val="000000"/>
              </a:solidFill>
            </a:ln>
          </c:spPr>
          <c:marker>
            <c:symbol val="none"/>
          </c:marker>
          <c:xVal>
            <c:numRef>
              <c:f>'_TB Analysis'!$AB$261:$AC$261</c:f>
              <c:numCache>
                <c:formatCode>General</c:formatCode>
                <c:ptCount val="2"/>
                <c:pt idx="0">
                  <c:v>#N/A</c:v>
                </c:pt>
                <c:pt idx="1">
                  <c:v>#N/A</c:v>
                </c:pt>
              </c:numCache>
            </c:numRef>
          </c:xVal>
          <c:yVal>
            <c:numRef>
              <c:f>'_TB Analysis'!$AD$261:$AE$261</c:f>
              <c:numCache>
                <c:formatCode>General</c:formatCode>
                <c:ptCount val="2"/>
                <c:pt idx="0">
                  <c:v>#N/A</c:v>
                </c:pt>
                <c:pt idx="1">
                  <c:v>#N/A</c:v>
                </c:pt>
              </c:numCache>
            </c:numRef>
          </c:yVal>
          <c:smooth val="0"/>
          <c:extLst>
            <c:ext xmlns:c16="http://schemas.microsoft.com/office/drawing/2014/chart" uri="{C3380CC4-5D6E-409C-BE32-E72D297353CC}">
              <c16:uniqueId val="{0000004D-D99C-4AF6-89E7-DC5FF432C6FE}"/>
            </c:ext>
          </c:extLst>
        </c:ser>
        <c:ser>
          <c:idx val="51"/>
          <c:order val="69"/>
          <c:tx>
            <c:strRef>
              <c:f>'_TB Analysis'!$AA$260</c:f>
              <c:strCache>
                <c:ptCount val="1"/>
              </c:strCache>
            </c:strRef>
          </c:tx>
          <c:spPr>
            <a:ln w="12700">
              <a:solidFill>
                <a:srgbClr val="000000"/>
              </a:solidFill>
            </a:ln>
          </c:spPr>
          <c:marker>
            <c:symbol val="none"/>
          </c:marker>
          <c:xVal>
            <c:numRef>
              <c:f>'_TB Analysis'!$AB$260:$AC$260</c:f>
              <c:numCache>
                <c:formatCode>General</c:formatCode>
                <c:ptCount val="2"/>
                <c:pt idx="0">
                  <c:v>#N/A</c:v>
                </c:pt>
                <c:pt idx="1">
                  <c:v>#N/A</c:v>
                </c:pt>
              </c:numCache>
            </c:numRef>
          </c:xVal>
          <c:yVal>
            <c:numRef>
              <c:f>'_TB Analysis'!$AD$260:$AE$260</c:f>
              <c:numCache>
                <c:formatCode>General</c:formatCode>
                <c:ptCount val="2"/>
                <c:pt idx="0">
                  <c:v>#N/A</c:v>
                </c:pt>
                <c:pt idx="1">
                  <c:v>#N/A</c:v>
                </c:pt>
              </c:numCache>
            </c:numRef>
          </c:yVal>
          <c:smooth val="0"/>
          <c:extLst>
            <c:ext xmlns:c16="http://schemas.microsoft.com/office/drawing/2014/chart" uri="{C3380CC4-5D6E-409C-BE32-E72D297353CC}">
              <c16:uniqueId val="{0000004C-D99C-4AF6-89E7-DC5FF432C6FE}"/>
            </c:ext>
          </c:extLst>
        </c:ser>
        <c:ser>
          <c:idx val="0"/>
          <c:order val="70"/>
          <c:spPr>
            <a:ln w="12700">
              <a:solidFill>
                <a:srgbClr val="000000"/>
              </a:solidFill>
              <a:prstDash val="solid"/>
            </a:ln>
          </c:spPr>
          <c:marker>
            <c:symbol val="none"/>
          </c:marker>
          <c:xVal>
            <c:numRef>
              <c:f>'_TB Analysis'!$AA$200:$AA$204</c:f>
              <c:numCache>
                <c:formatCode>General</c:formatCode>
                <c:ptCount val="5"/>
                <c:pt idx="0">
                  <c:v>0</c:v>
                </c:pt>
                <c:pt idx="1">
                  <c:v>0</c:v>
                </c:pt>
                <c:pt idx="2">
                  <c:v>0</c:v>
                </c:pt>
                <c:pt idx="3">
                  <c:v>0</c:v>
                </c:pt>
                <c:pt idx="4">
                  <c:v>0</c:v>
                </c:pt>
              </c:numCache>
            </c:numRef>
          </c:xVal>
          <c:yVal>
            <c:numRef>
              <c:f>'_TB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00-D99C-4AF6-89E7-DC5FF432C6FE}"/>
            </c:ext>
          </c:extLst>
        </c:ser>
        <c:ser>
          <c:idx val="1"/>
          <c:order val="71"/>
          <c:tx>
            <c:strRef>
              <c:f>'_TB Analysis'!$AA$210</c:f>
              <c:strCache>
                <c:ptCount val="1"/>
              </c:strCache>
            </c:strRef>
          </c:tx>
          <c:spPr>
            <a:ln w="12700">
              <a:solidFill>
                <a:srgbClr val="000000"/>
              </a:solidFill>
            </a:ln>
          </c:spPr>
          <c:marker>
            <c:symbol val="none"/>
          </c:marker>
          <c:xVal>
            <c:numRef>
              <c:f>'_TB Analysis'!$AB$210:$AC$210</c:f>
              <c:numCache>
                <c:formatCode>General</c:formatCode>
                <c:ptCount val="2"/>
                <c:pt idx="0">
                  <c:v>#N/A</c:v>
                </c:pt>
                <c:pt idx="1">
                  <c:v>#N/A</c:v>
                </c:pt>
              </c:numCache>
            </c:numRef>
          </c:xVal>
          <c:yVal>
            <c:numRef>
              <c:f>'_TB Analysis'!$AD$210:$AE$210</c:f>
              <c:numCache>
                <c:formatCode>General</c:formatCode>
                <c:ptCount val="2"/>
                <c:pt idx="0">
                  <c:v>#N/A</c:v>
                </c:pt>
                <c:pt idx="1">
                  <c:v>#N/A</c:v>
                </c:pt>
              </c:numCache>
            </c:numRef>
          </c:yVal>
          <c:smooth val="0"/>
          <c:extLst>
            <c:ext xmlns:c16="http://schemas.microsoft.com/office/drawing/2014/chart" uri="{C3380CC4-5D6E-409C-BE32-E72D297353CC}">
              <c16:uniqueId val="{0000001A-D99C-4AF6-89E7-DC5FF432C6FE}"/>
            </c:ext>
          </c:extLst>
        </c:ser>
        <c:ser>
          <c:idx val="2"/>
          <c:order val="72"/>
          <c:tx>
            <c:strRef>
              <c:f>'_TB Analysis'!$AA$211</c:f>
              <c:strCache>
                <c:ptCount val="1"/>
              </c:strCache>
            </c:strRef>
          </c:tx>
          <c:spPr>
            <a:ln w="12700">
              <a:solidFill>
                <a:srgbClr val="000000"/>
              </a:solidFill>
            </a:ln>
          </c:spPr>
          <c:marker>
            <c:symbol val="none"/>
          </c:marker>
          <c:xVal>
            <c:numRef>
              <c:f>'_TB Analysis'!$AB$211:$AC$211</c:f>
              <c:numCache>
                <c:formatCode>General</c:formatCode>
                <c:ptCount val="2"/>
                <c:pt idx="0">
                  <c:v>#N/A</c:v>
                </c:pt>
                <c:pt idx="1">
                  <c:v>#N/A</c:v>
                </c:pt>
              </c:numCache>
            </c:numRef>
          </c:xVal>
          <c:yVal>
            <c:numRef>
              <c:f>'_TB Analysis'!$AD$211:$AE$211</c:f>
              <c:numCache>
                <c:formatCode>General</c:formatCode>
                <c:ptCount val="2"/>
                <c:pt idx="0">
                  <c:v>#N/A</c:v>
                </c:pt>
                <c:pt idx="1">
                  <c:v>#N/A</c:v>
                </c:pt>
              </c:numCache>
            </c:numRef>
          </c:yVal>
          <c:smooth val="0"/>
          <c:extLst>
            <c:ext xmlns:c16="http://schemas.microsoft.com/office/drawing/2014/chart" uri="{C3380CC4-5D6E-409C-BE32-E72D297353CC}">
              <c16:uniqueId val="{0000001B-D99C-4AF6-89E7-DC5FF432C6FE}"/>
            </c:ext>
          </c:extLst>
        </c:ser>
        <c:ser>
          <c:idx val="3"/>
          <c:order val="73"/>
          <c:tx>
            <c:strRef>
              <c:f>'_TB Analysis'!$AA$212</c:f>
              <c:strCache>
                <c:ptCount val="1"/>
              </c:strCache>
            </c:strRef>
          </c:tx>
          <c:spPr>
            <a:ln w="12700">
              <a:solidFill>
                <a:srgbClr val="000000"/>
              </a:solidFill>
            </a:ln>
          </c:spPr>
          <c:marker>
            <c:symbol val="none"/>
          </c:marker>
          <c:xVal>
            <c:numRef>
              <c:f>'_TB Analysis'!$AB$212:$AC$212</c:f>
              <c:numCache>
                <c:formatCode>General</c:formatCode>
                <c:ptCount val="2"/>
                <c:pt idx="0">
                  <c:v>#N/A</c:v>
                </c:pt>
                <c:pt idx="1">
                  <c:v>#N/A</c:v>
                </c:pt>
              </c:numCache>
            </c:numRef>
          </c:xVal>
          <c:yVal>
            <c:numRef>
              <c:f>'_TB Analysis'!$AD$212:$AE$212</c:f>
              <c:numCache>
                <c:formatCode>General</c:formatCode>
                <c:ptCount val="2"/>
                <c:pt idx="0">
                  <c:v>#N/A</c:v>
                </c:pt>
                <c:pt idx="1">
                  <c:v>#N/A</c:v>
                </c:pt>
              </c:numCache>
            </c:numRef>
          </c:yVal>
          <c:smooth val="0"/>
          <c:extLst>
            <c:ext xmlns:c16="http://schemas.microsoft.com/office/drawing/2014/chart" uri="{C3380CC4-5D6E-409C-BE32-E72D297353CC}">
              <c16:uniqueId val="{0000001C-D99C-4AF6-89E7-DC5FF432C6FE}"/>
            </c:ext>
          </c:extLst>
        </c:ser>
        <c:ser>
          <c:idx val="4"/>
          <c:order val="74"/>
          <c:tx>
            <c:strRef>
              <c:f>'_TB Analysis'!$AA$213</c:f>
              <c:strCache>
                <c:ptCount val="1"/>
              </c:strCache>
            </c:strRef>
          </c:tx>
          <c:spPr>
            <a:ln w="12700">
              <a:solidFill>
                <a:srgbClr val="000000"/>
              </a:solidFill>
            </a:ln>
          </c:spPr>
          <c:marker>
            <c:symbol val="none"/>
          </c:marker>
          <c:xVal>
            <c:numRef>
              <c:f>'_TB Analysis'!$AB$213:$AC$213</c:f>
              <c:numCache>
                <c:formatCode>General</c:formatCode>
                <c:ptCount val="2"/>
                <c:pt idx="0">
                  <c:v>#N/A</c:v>
                </c:pt>
                <c:pt idx="1">
                  <c:v>#N/A</c:v>
                </c:pt>
              </c:numCache>
            </c:numRef>
          </c:xVal>
          <c:yVal>
            <c:numRef>
              <c:f>'_TB Analysis'!$AD$213:$AE$213</c:f>
              <c:numCache>
                <c:formatCode>General</c:formatCode>
                <c:ptCount val="2"/>
                <c:pt idx="0">
                  <c:v>#N/A</c:v>
                </c:pt>
                <c:pt idx="1">
                  <c:v>#N/A</c:v>
                </c:pt>
              </c:numCache>
            </c:numRef>
          </c:yVal>
          <c:smooth val="0"/>
          <c:extLst>
            <c:ext xmlns:c16="http://schemas.microsoft.com/office/drawing/2014/chart" uri="{C3380CC4-5D6E-409C-BE32-E72D297353CC}">
              <c16:uniqueId val="{0000001D-D99C-4AF6-89E7-DC5FF432C6FE}"/>
            </c:ext>
          </c:extLst>
        </c:ser>
        <c:ser>
          <c:idx val="5"/>
          <c:order val="75"/>
          <c:tx>
            <c:strRef>
              <c:f>'_TB Analysis'!$AA$214</c:f>
              <c:strCache>
                <c:ptCount val="1"/>
              </c:strCache>
            </c:strRef>
          </c:tx>
          <c:spPr>
            <a:ln w="12700">
              <a:solidFill>
                <a:srgbClr val="000000"/>
              </a:solidFill>
            </a:ln>
          </c:spPr>
          <c:marker>
            <c:symbol val="none"/>
          </c:marker>
          <c:xVal>
            <c:numRef>
              <c:f>'_TB Analysis'!$AB$214:$AC$214</c:f>
              <c:numCache>
                <c:formatCode>General</c:formatCode>
                <c:ptCount val="2"/>
                <c:pt idx="0">
                  <c:v>#N/A</c:v>
                </c:pt>
                <c:pt idx="1">
                  <c:v>#N/A</c:v>
                </c:pt>
              </c:numCache>
            </c:numRef>
          </c:xVal>
          <c:yVal>
            <c:numRef>
              <c:f>'_TB Analysis'!$AD$214:$AE$214</c:f>
              <c:numCache>
                <c:formatCode>General</c:formatCode>
                <c:ptCount val="2"/>
                <c:pt idx="0">
                  <c:v>#N/A</c:v>
                </c:pt>
                <c:pt idx="1">
                  <c:v>#N/A</c:v>
                </c:pt>
              </c:numCache>
            </c:numRef>
          </c:yVal>
          <c:smooth val="0"/>
          <c:extLst>
            <c:ext xmlns:c16="http://schemas.microsoft.com/office/drawing/2014/chart" uri="{C3380CC4-5D6E-409C-BE32-E72D297353CC}">
              <c16:uniqueId val="{0000001E-D99C-4AF6-89E7-DC5FF432C6FE}"/>
            </c:ext>
          </c:extLst>
        </c:ser>
        <c:ser>
          <c:idx val="6"/>
          <c:order val="76"/>
          <c:tx>
            <c:strRef>
              <c:f>'_TB Analysis'!$AA$215</c:f>
              <c:strCache>
                <c:ptCount val="1"/>
              </c:strCache>
            </c:strRef>
          </c:tx>
          <c:spPr>
            <a:ln w="12700">
              <a:solidFill>
                <a:srgbClr val="000000"/>
              </a:solidFill>
            </a:ln>
          </c:spPr>
          <c:marker>
            <c:symbol val="none"/>
          </c:marker>
          <c:xVal>
            <c:numRef>
              <c:f>'_TB Analysis'!$AB$215:$AC$215</c:f>
              <c:numCache>
                <c:formatCode>General</c:formatCode>
                <c:ptCount val="2"/>
                <c:pt idx="0">
                  <c:v>#N/A</c:v>
                </c:pt>
                <c:pt idx="1">
                  <c:v>#N/A</c:v>
                </c:pt>
              </c:numCache>
            </c:numRef>
          </c:xVal>
          <c:yVal>
            <c:numRef>
              <c:f>'_TB Analysis'!$AD$215:$AE$215</c:f>
              <c:numCache>
                <c:formatCode>General</c:formatCode>
                <c:ptCount val="2"/>
                <c:pt idx="0">
                  <c:v>#N/A</c:v>
                </c:pt>
                <c:pt idx="1">
                  <c:v>#N/A</c:v>
                </c:pt>
              </c:numCache>
            </c:numRef>
          </c:yVal>
          <c:smooth val="0"/>
          <c:extLst>
            <c:ext xmlns:c16="http://schemas.microsoft.com/office/drawing/2014/chart" uri="{C3380CC4-5D6E-409C-BE32-E72D297353CC}">
              <c16:uniqueId val="{0000001F-D99C-4AF6-89E7-DC5FF432C6FE}"/>
            </c:ext>
          </c:extLst>
        </c:ser>
        <c:ser>
          <c:idx val="7"/>
          <c:order val="77"/>
          <c:tx>
            <c:strRef>
              <c:f>'_TB Analysis'!$AA$216</c:f>
              <c:strCache>
                <c:ptCount val="1"/>
              </c:strCache>
            </c:strRef>
          </c:tx>
          <c:spPr>
            <a:ln w="12700">
              <a:solidFill>
                <a:srgbClr val="000000"/>
              </a:solidFill>
            </a:ln>
          </c:spPr>
          <c:marker>
            <c:symbol val="none"/>
          </c:marker>
          <c:xVal>
            <c:numRef>
              <c:f>'_TB Analysis'!$AB$216:$AC$216</c:f>
              <c:numCache>
                <c:formatCode>General</c:formatCode>
                <c:ptCount val="2"/>
                <c:pt idx="0">
                  <c:v>#N/A</c:v>
                </c:pt>
                <c:pt idx="1">
                  <c:v>#N/A</c:v>
                </c:pt>
              </c:numCache>
            </c:numRef>
          </c:xVal>
          <c:yVal>
            <c:numRef>
              <c:f>'_TB Analysis'!$AD$216:$AE$216</c:f>
              <c:numCache>
                <c:formatCode>General</c:formatCode>
                <c:ptCount val="2"/>
                <c:pt idx="0">
                  <c:v>#N/A</c:v>
                </c:pt>
                <c:pt idx="1">
                  <c:v>#N/A</c:v>
                </c:pt>
              </c:numCache>
            </c:numRef>
          </c:yVal>
          <c:smooth val="0"/>
          <c:extLst>
            <c:ext xmlns:c16="http://schemas.microsoft.com/office/drawing/2014/chart" uri="{C3380CC4-5D6E-409C-BE32-E72D297353CC}">
              <c16:uniqueId val="{00000020-D99C-4AF6-89E7-DC5FF432C6FE}"/>
            </c:ext>
          </c:extLst>
        </c:ser>
        <c:ser>
          <c:idx val="8"/>
          <c:order val="78"/>
          <c:tx>
            <c:strRef>
              <c:f>'_TB Analysis'!$AA$217</c:f>
              <c:strCache>
                <c:ptCount val="1"/>
              </c:strCache>
            </c:strRef>
          </c:tx>
          <c:spPr>
            <a:ln w="12700">
              <a:solidFill>
                <a:srgbClr val="000000"/>
              </a:solidFill>
            </a:ln>
          </c:spPr>
          <c:marker>
            <c:symbol val="none"/>
          </c:marker>
          <c:xVal>
            <c:numRef>
              <c:f>'_TB Analysis'!$AB$217:$AC$217</c:f>
              <c:numCache>
                <c:formatCode>General</c:formatCode>
                <c:ptCount val="2"/>
                <c:pt idx="0">
                  <c:v>#N/A</c:v>
                </c:pt>
                <c:pt idx="1">
                  <c:v>#N/A</c:v>
                </c:pt>
              </c:numCache>
            </c:numRef>
          </c:xVal>
          <c:yVal>
            <c:numRef>
              <c:f>'_TB Analysis'!$AD$217:$AE$217</c:f>
              <c:numCache>
                <c:formatCode>General</c:formatCode>
                <c:ptCount val="2"/>
                <c:pt idx="0">
                  <c:v>#N/A</c:v>
                </c:pt>
                <c:pt idx="1">
                  <c:v>#N/A</c:v>
                </c:pt>
              </c:numCache>
            </c:numRef>
          </c:yVal>
          <c:smooth val="0"/>
          <c:extLst>
            <c:ext xmlns:c16="http://schemas.microsoft.com/office/drawing/2014/chart" uri="{C3380CC4-5D6E-409C-BE32-E72D297353CC}">
              <c16:uniqueId val="{00000021-D99C-4AF6-89E7-DC5FF432C6FE}"/>
            </c:ext>
          </c:extLst>
        </c:ser>
        <c:ser>
          <c:idx val="9"/>
          <c:order val="79"/>
          <c:tx>
            <c:strRef>
              <c:f>'_TB Analysis'!$AA$218</c:f>
              <c:strCache>
                <c:ptCount val="1"/>
              </c:strCache>
            </c:strRef>
          </c:tx>
          <c:spPr>
            <a:ln w="12700">
              <a:solidFill>
                <a:srgbClr val="000000"/>
              </a:solidFill>
            </a:ln>
          </c:spPr>
          <c:marker>
            <c:symbol val="none"/>
          </c:marker>
          <c:xVal>
            <c:numRef>
              <c:f>'_TB Analysis'!$AB$218:$AC$218</c:f>
              <c:numCache>
                <c:formatCode>General</c:formatCode>
                <c:ptCount val="2"/>
                <c:pt idx="0">
                  <c:v>#N/A</c:v>
                </c:pt>
                <c:pt idx="1">
                  <c:v>#N/A</c:v>
                </c:pt>
              </c:numCache>
            </c:numRef>
          </c:xVal>
          <c:yVal>
            <c:numRef>
              <c:f>'_TB Analysis'!$AD$218:$AE$218</c:f>
              <c:numCache>
                <c:formatCode>General</c:formatCode>
                <c:ptCount val="2"/>
                <c:pt idx="0">
                  <c:v>#N/A</c:v>
                </c:pt>
                <c:pt idx="1">
                  <c:v>#N/A</c:v>
                </c:pt>
              </c:numCache>
            </c:numRef>
          </c:yVal>
          <c:smooth val="0"/>
          <c:extLst>
            <c:ext xmlns:c16="http://schemas.microsoft.com/office/drawing/2014/chart" uri="{C3380CC4-5D6E-409C-BE32-E72D297353CC}">
              <c16:uniqueId val="{00000022-D99C-4AF6-89E7-DC5FF432C6FE}"/>
            </c:ext>
          </c:extLst>
        </c:ser>
        <c:ser>
          <c:idx val="10"/>
          <c:order val="80"/>
          <c:tx>
            <c:strRef>
              <c:f>'_TB Analysis'!$AA$219</c:f>
              <c:strCache>
                <c:ptCount val="1"/>
              </c:strCache>
            </c:strRef>
          </c:tx>
          <c:spPr>
            <a:ln w="12700">
              <a:solidFill>
                <a:srgbClr val="000000"/>
              </a:solidFill>
            </a:ln>
          </c:spPr>
          <c:marker>
            <c:symbol val="none"/>
          </c:marker>
          <c:xVal>
            <c:numRef>
              <c:f>'_TB Analysis'!$AB$219:$AC$219</c:f>
              <c:numCache>
                <c:formatCode>General</c:formatCode>
                <c:ptCount val="2"/>
                <c:pt idx="0">
                  <c:v>#N/A</c:v>
                </c:pt>
                <c:pt idx="1">
                  <c:v>#N/A</c:v>
                </c:pt>
              </c:numCache>
            </c:numRef>
          </c:xVal>
          <c:yVal>
            <c:numRef>
              <c:f>'_TB Analysis'!$AD$219:$AE$219</c:f>
              <c:numCache>
                <c:formatCode>General</c:formatCode>
                <c:ptCount val="2"/>
                <c:pt idx="0">
                  <c:v>#N/A</c:v>
                </c:pt>
                <c:pt idx="1">
                  <c:v>#N/A</c:v>
                </c:pt>
              </c:numCache>
            </c:numRef>
          </c:yVal>
          <c:smooth val="0"/>
          <c:extLst>
            <c:ext xmlns:c16="http://schemas.microsoft.com/office/drawing/2014/chart" uri="{C3380CC4-5D6E-409C-BE32-E72D297353CC}">
              <c16:uniqueId val="{00000023-D99C-4AF6-89E7-DC5FF432C6FE}"/>
            </c:ext>
          </c:extLst>
        </c:ser>
        <c:ser>
          <c:idx val="11"/>
          <c:order val="81"/>
          <c:tx>
            <c:strRef>
              <c:f>'_TB Analysis'!$AA$220</c:f>
              <c:strCache>
                <c:ptCount val="1"/>
              </c:strCache>
            </c:strRef>
          </c:tx>
          <c:spPr>
            <a:ln w="12700">
              <a:solidFill>
                <a:srgbClr val="000000"/>
              </a:solidFill>
            </a:ln>
          </c:spPr>
          <c:marker>
            <c:symbol val="none"/>
          </c:marker>
          <c:xVal>
            <c:numRef>
              <c:f>'_TB Analysis'!$AB$220:$AC$220</c:f>
              <c:numCache>
                <c:formatCode>General</c:formatCode>
                <c:ptCount val="2"/>
                <c:pt idx="0">
                  <c:v>#N/A</c:v>
                </c:pt>
                <c:pt idx="1">
                  <c:v>#N/A</c:v>
                </c:pt>
              </c:numCache>
            </c:numRef>
          </c:xVal>
          <c:yVal>
            <c:numRef>
              <c:f>'_TB Analysis'!$AD$220:$AE$220</c:f>
              <c:numCache>
                <c:formatCode>General</c:formatCode>
                <c:ptCount val="2"/>
                <c:pt idx="0">
                  <c:v>#N/A</c:v>
                </c:pt>
                <c:pt idx="1">
                  <c:v>#N/A</c:v>
                </c:pt>
              </c:numCache>
            </c:numRef>
          </c:yVal>
          <c:smooth val="0"/>
          <c:extLst>
            <c:ext xmlns:c16="http://schemas.microsoft.com/office/drawing/2014/chart" uri="{C3380CC4-5D6E-409C-BE32-E72D297353CC}">
              <c16:uniqueId val="{00000024-D99C-4AF6-89E7-DC5FF432C6FE}"/>
            </c:ext>
          </c:extLst>
        </c:ser>
        <c:ser>
          <c:idx val="12"/>
          <c:order val="82"/>
          <c:tx>
            <c:strRef>
              <c:f>'_TB Analysis'!$AA$221</c:f>
              <c:strCache>
                <c:ptCount val="1"/>
              </c:strCache>
            </c:strRef>
          </c:tx>
          <c:spPr>
            <a:ln w="12700">
              <a:solidFill>
                <a:srgbClr val="000000"/>
              </a:solidFill>
            </a:ln>
          </c:spPr>
          <c:marker>
            <c:symbol val="none"/>
          </c:marker>
          <c:xVal>
            <c:numRef>
              <c:f>'_TB Analysis'!$AB$221:$AC$221</c:f>
              <c:numCache>
                <c:formatCode>General</c:formatCode>
                <c:ptCount val="2"/>
                <c:pt idx="0">
                  <c:v>#N/A</c:v>
                </c:pt>
                <c:pt idx="1">
                  <c:v>#N/A</c:v>
                </c:pt>
              </c:numCache>
            </c:numRef>
          </c:xVal>
          <c:yVal>
            <c:numRef>
              <c:f>'_TB Analysis'!$AD$221:$AE$221</c:f>
              <c:numCache>
                <c:formatCode>General</c:formatCode>
                <c:ptCount val="2"/>
                <c:pt idx="0">
                  <c:v>#N/A</c:v>
                </c:pt>
                <c:pt idx="1">
                  <c:v>#N/A</c:v>
                </c:pt>
              </c:numCache>
            </c:numRef>
          </c:yVal>
          <c:smooth val="0"/>
          <c:extLst>
            <c:ext xmlns:c16="http://schemas.microsoft.com/office/drawing/2014/chart" uri="{C3380CC4-5D6E-409C-BE32-E72D297353CC}">
              <c16:uniqueId val="{00000025-D99C-4AF6-89E7-DC5FF432C6FE}"/>
            </c:ext>
          </c:extLst>
        </c:ser>
        <c:ser>
          <c:idx val="13"/>
          <c:order val="83"/>
          <c:tx>
            <c:strRef>
              <c:f>'_TB Analysis'!$AA$222</c:f>
              <c:strCache>
                <c:ptCount val="1"/>
              </c:strCache>
            </c:strRef>
          </c:tx>
          <c:spPr>
            <a:ln w="12700">
              <a:solidFill>
                <a:srgbClr val="000000"/>
              </a:solidFill>
            </a:ln>
          </c:spPr>
          <c:marker>
            <c:symbol val="none"/>
          </c:marker>
          <c:xVal>
            <c:numRef>
              <c:f>'_TB Analysis'!$AB$222:$AC$222</c:f>
              <c:numCache>
                <c:formatCode>General</c:formatCode>
                <c:ptCount val="2"/>
                <c:pt idx="0">
                  <c:v>#N/A</c:v>
                </c:pt>
                <c:pt idx="1">
                  <c:v>#N/A</c:v>
                </c:pt>
              </c:numCache>
            </c:numRef>
          </c:xVal>
          <c:yVal>
            <c:numRef>
              <c:f>'_TB Analysis'!$AD$222:$AE$222</c:f>
              <c:numCache>
                <c:formatCode>General</c:formatCode>
                <c:ptCount val="2"/>
                <c:pt idx="0">
                  <c:v>#N/A</c:v>
                </c:pt>
                <c:pt idx="1">
                  <c:v>#N/A</c:v>
                </c:pt>
              </c:numCache>
            </c:numRef>
          </c:yVal>
          <c:smooth val="0"/>
          <c:extLst>
            <c:ext xmlns:c16="http://schemas.microsoft.com/office/drawing/2014/chart" uri="{C3380CC4-5D6E-409C-BE32-E72D297353CC}">
              <c16:uniqueId val="{00000026-D99C-4AF6-89E7-DC5FF432C6FE}"/>
            </c:ext>
          </c:extLst>
        </c:ser>
        <c:ser>
          <c:idx val="14"/>
          <c:order val="84"/>
          <c:tx>
            <c:strRef>
              <c:f>'_TB Analysis'!$AA$223</c:f>
              <c:strCache>
                <c:ptCount val="1"/>
              </c:strCache>
            </c:strRef>
          </c:tx>
          <c:spPr>
            <a:ln w="12700">
              <a:solidFill>
                <a:srgbClr val="000000"/>
              </a:solidFill>
            </a:ln>
          </c:spPr>
          <c:marker>
            <c:symbol val="none"/>
          </c:marker>
          <c:xVal>
            <c:numRef>
              <c:f>'_TB Analysis'!$AB$223:$AC$223</c:f>
              <c:numCache>
                <c:formatCode>General</c:formatCode>
                <c:ptCount val="2"/>
                <c:pt idx="0">
                  <c:v>#N/A</c:v>
                </c:pt>
                <c:pt idx="1">
                  <c:v>#N/A</c:v>
                </c:pt>
              </c:numCache>
            </c:numRef>
          </c:xVal>
          <c:yVal>
            <c:numRef>
              <c:f>'_TB Analysis'!$AD$223:$AE$223</c:f>
              <c:numCache>
                <c:formatCode>General</c:formatCode>
                <c:ptCount val="2"/>
                <c:pt idx="0">
                  <c:v>#N/A</c:v>
                </c:pt>
                <c:pt idx="1">
                  <c:v>#N/A</c:v>
                </c:pt>
              </c:numCache>
            </c:numRef>
          </c:yVal>
          <c:smooth val="0"/>
          <c:extLst>
            <c:ext xmlns:c16="http://schemas.microsoft.com/office/drawing/2014/chart" uri="{C3380CC4-5D6E-409C-BE32-E72D297353CC}">
              <c16:uniqueId val="{00000027-D99C-4AF6-89E7-DC5FF432C6FE}"/>
            </c:ext>
          </c:extLst>
        </c:ser>
        <c:ser>
          <c:idx val="15"/>
          <c:order val="85"/>
          <c:tx>
            <c:strRef>
              <c:f>'_TB Analysis'!$AA$224</c:f>
              <c:strCache>
                <c:ptCount val="1"/>
              </c:strCache>
            </c:strRef>
          </c:tx>
          <c:spPr>
            <a:ln w="12700">
              <a:solidFill>
                <a:srgbClr val="000000"/>
              </a:solidFill>
            </a:ln>
          </c:spPr>
          <c:marker>
            <c:symbol val="none"/>
          </c:marker>
          <c:xVal>
            <c:numRef>
              <c:f>'_TB Analysis'!$AB$224:$AC$224</c:f>
              <c:numCache>
                <c:formatCode>General</c:formatCode>
                <c:ptCount val="2"/>
                <c:pt idx="0">
                  <c:v>#N/A</c:v>
                </c:pt>
                <c:pt idx="1">
                  <c:v>#N/A</c:v>
                </c:pt>
              </c:numCache>
            </c:numRef>
          </c:xVal>
          <c:yVal>
            <c:numRef>
              <c:f>'_TB Analysis'!$AD$224:$AE$224</c:f>
              <c:numCache>
                <c:formatCode>General</c:formatCode>
                <c:ptCount val="2"/>
                <c:pt idx="0">
                  <c:v>#N/A</c:v>
                </c:pt>
                <c:pt idx="1">
                  <c:v>#N/A</c:v>
                </c:pt>
              </c:numCache>
            </c:numRef>
          </c:yVal>
          <c:smooth val="0"/>
          <c:extLst>
            <c:ext xmlns:c16="http://schemas.microsoft.com/office/drawing/2014/chart" uri="{C3380CC4-5D6E-409C-BE32-E72D297353CC}">
              <c16:uniqueId val="{00000028-D99C-4AF6-89E7-DC5FF432C6FE}"/>
            </c:ext>
          </c:extLst>
        </c:ser>
        <c:ser>
          <c:idx val="16"/>
          <c:order val="86"/>
          <c:tx>
            <c:strRef>
              <c:f>'_TB Analysis'!$AA$225</c:f>
              <c:strCache>
                <c:ptCount val="1"/>
              </c:strCache>
            </c:strRef>
          </c:tx>
          <c:spPr>
            <a:ln w="12700">
              <a:solidFill>
                <a:srgbClr val="000000"/>
              </a:solidFill>
            </a:ln>
          </c:spPr>
          <c:marker>
            <c:symbol val="none"/>
          </c:marker>
          <c:xVal>
            <c:numRef>
              <c:f>'_TB Analysis'!$AB$225:$AC$225</c:f>
              <c:numCache>
                <c:formatCode>General</c:formatCode>
                <c:ptCount val="2"/>
                <c:pt idx="0">
                  <c:v>#N/A</c:v>
                </c:pt>
                <c:pt idx="1">
                  <c:v>#N/A</c:v>
                </c:pt>
              </c:numCache>
            </c:numRef>
          </c:xVal>
          <c:yVal>
            <c:numRef>
              <c:f>'_TB Analysis'!$AD$225:$AE$225</c:f>
              <c:numCache>
                <c:formatCode>General</c:formatCode>
                <c:ptCount val="2"/>
                <c:pt idx="0">
                  <c:v>#N/A</c:v>
                </c:pt>
                <c:pt idx="1">
                  <c:v>#N/A</c:v>
                </c:pt>
              </c:numCache>
            </c:numRef>
          </c:yVal>
          <c:smooth val="0"/>
          <c:extLst>
            <c:ext xmlns:c16="http://schemas.microsoft.com/office/drawing/2014/chart" uri="{C3380CC4-5D6E-409C-BE32-E72D297353CC}">
              <c16:uniqueId val="{00000029-D99C-4AF6-89E7-DC5FF432C6FE}"/>
            </c:ext>
          </c:extLst>
        </c:ser>
        <c:ser>
          <c:idx val="17"/>
          <c:order val="87"/>
          <c:tx>
            <c:strRef>
              <c:f>'_TB Analysis'!$AA$226</c:f>
              <c:strCache>
                <c:ptCount val="1"/>
              </c:strCache>
            </c:strRef>
          </c:tx>
          <c:spPr>
            <a:ln w="12700">
              <a:solidFill>
                <a:srgbClr val="000000"/>
              </a:solidFill>
            </a:ln>
          </c:spPr>
          <c:marker>
            <c:symbol val="none"/>
          </c:marker>
          <c:xVal>
            <c:numRef>
              <c:f>'_TB Analysis'!$AB$226:$AC$226</c:f>
              <c:numCache>
                <c:formatCode>General</c:formatCode>
                <c:ptCount val="2"/>
                <c:pt idx="0">
                  <c:v>#N/A</c:v>
                </c:pt>
                <c:pt idx="1">
                  <c:v>#N/A</c:v>
                </c:pt>
              </c:numCache>
            </c:numRef>
          </c:xVal>
          <c:yVal>
            <c:numRef>
              <c:f>'_TB Analysis'!$AD$226:$AE$226</c:f>
              <c:numCache>
                <c:formatCode>General</c:formatCode>
                <c:ptCount val="2"/>
                <c:pt idx="0">
                  <c:v>#N/A</c:v>
                </c:pt>
                <c:pt idx="1">
                  <c:v>#N/A</c:v>
                </c:pt>
              </c:numCache>
            </c:numRef>
          </c:yVal>
          <c:smooth val="0"/>
          <c:extLst>
            <c:ext xmlns:c16="http://schemas.microsoft.com/office/drawing/2014/chart" uri="{C3380CC4-5D6E-409C-BE32-E72D297353CC}">
              <c16:uniqueId val="{0000002A-D99C-4AF6-89E7-DC5FF432C6FE}"/>
            </c:ext>
          </c:extLst>
        </c:ser>
        <c:ser>
          <c:idx val="18"/>
          <c:order val="88"/>
          <c:tx>
            <c:strRef>
              <c:f>'_TB Analysis'!$AA$227</c:f>
              <c:strCache>
                <c:ptCount val="1"/>
              </c:strCache>
            </c:strRef>
          </c:tx>
          <c:spPr>
            <a:ln w="12700">
              <a:solidFill>
                <a:srgbClr val="000000"/>
              </a:solidFill>
            </a:ln>
          </c:spPr>
          <c:marker>
            <c:symbol val="none"/>
          </c:marker>
          <c:xVal>
            <c:numRef>
              <c:f>'_TB Analysis'!$AB$227:$AC$227</c:f>
              <c:numCache>
                <c:formatCode>General</c:formatCode>
                <c:ptCount val="2"/>
                <c:pt idx="0">
                  <c:v>#N/A</c:v>
                </c:pt>
                <c:pt idx="1">
                  <c:v>#N/A</c:v>
                </c:pt>
              </c:numCache>
            </c:numRef>
          </c:xVal>
          <c:yVal>
            <c:numRef>
              <c:f>'_TB Analysis'!$AD$227:$AE$227</c:f>
              <c:numCache>
                <c:formatCode>General</c:formatCode>
                <c:ptCount val="2"/>
                <c:pt idx="0">
                  <c:v>#N/A</c:v>
                </c:pt>
                <c:pt idx="1">
                  <c:v>#N/A</c:v>
                </c:pt>
              </c:numCache>
            </c:numRef>
          </c:yVal>
          <c:smooth val="0"/>
          <c:extLst>
            <c:ext xmlns:c16="http://schemas.microsoft.com/office/drawing/2014/chart" uri="{C3380CC4-5D6E-409C-BE32-E72D297353CC}">
              <c16:uniqueId val="{0000002B-D99C-4AF6-89E7-DC5FF432C6FE}"/>
            </c:ext>
          </c:extLst>
        </c:ser>
        <c:ser>
          <c:idx val="19"/>
          <c:order val="89"/>
          <c:tx>
            <c:strRef>
              <c:f>'_TB Analysis'!$AA$228</c:f>
              <c:strCache>
                <c:ptCount val="1"/>
              </c:strCache>
            </c:strRef>
          </c:tx>
          <c:spPr>
            <a:ln w="12700">
              <a:solidFill>
                <a:srgbClr val="000000"/>
              </a:solidFill>
            </a:ln>
          </c:spPr>
          <c:marker>
            <c:symbol val="none"/>
          </c:marker>
          <c:xVal>
            <c:numRef>
              <c:f>'_TB Analysis'!$AB$228:$AC$228</c:f>
              <c:numCache>
                <c:formatCode>General</c:formatCode>
                <c:ptCount val="2"/>
                <c:pt idx="0">
                  <c:v>#N/A</c:v>
                </c:pt>
                <c:pt idx="1">
                  <c:v>#N/A</c:v>
                </c:pt>
              </c:numCache>
            </c:numRef>
          </c:xVal>
          <c:yVal>
            <c:numRef>
              <c:f>'_TB Analysis'!$AD$228:$AE$228</c:f>
              <c:numCache>
                <c:formatCode>General</c:formatCode>
                <c:ptCount val="2"/>
                <c:pt idx="0">
                  <c:v>#N/A</c:v>
                </c:pt>
                <c:pt idx="1">
                  <c:v>#N/A</c:v>
                </c:pt>
              </c:numCache>
            </c:numRef>
          </c:yVal>
          <c:smooth val="0"/>
          <c:extLst>
            <c:ext xmlns:c16="http://schemas.microsoft.com/office/drawing/2014/chart" uri="{C3380CC4-5D6E-409C-BE32-E72D297353CC}">
              <c16:uniqueId val="{0000002C-D99C-4AF6-89E7-DC5FF432C6FE}"/>
            </c:ext>
          </c:extLst>
        </c:ser>
        <c:ser>
          <c:idx val="20"/>
          <c:order val="90"/>
          <c:tx>
            <c:strRef>
              <c:f>'_TB Analysis'!$AA$229</c:f>
              <c:strCache>
                <c:ptCount val="1"/>
              </c:strCache>
            </c:strRef>
          </c:tx>
          <c:spPr>
            <a:ln w="12700">
              <a:solidFill>
                <a:srgbClr val="000000"/>
              </a:solidFill>
            </a:ln>
          </c:spPr>
          <c:marker>
            <c:symbol val="none"/>
          </c:marker>
          <c:xVal>
            <c:numRef>
              <c:f>'_TB Analysis'!$AB$229:$AC$229</c:f>
              <c:numCache>
                <c:formatCode>General</c:formatCode>
                <c:ptCount val="2"/>
                <c:pt idx="0">
                  <c:v>#N/A</c:v>
                </c:pt>
                <c:pt idx="1">
                  <c:v>#N/A</c:v>
                </c:pt>
              </c:numCache>
            </c:numRef>
          </c:xVal>
          <c:yVal>
            <c:numRef>
              <c:f>'_TB Analysis'!$AD$229:$AE$229</c:f>
              <c:numCache>
                <c:formatCode>General</c:formatCode>
                <c:ptCount val="2"/>
                <c:pt idx="0">
                  <c:v>#N/A</c:v>
                </c:pt>
                <c:pt idx="1">
                  <c:v>#N/A</c:v>
                </c:pt>
              </c:numCache>
            </c:numRef>
          </c:yVal>
          <c:smooth val="0"/>
          <c:extLst>
            <c:ext xmlns:c16="http://schemas.microsoft.com/office/drawing/2014/chart" uri="{C3380CC4-5D6E-409C-BE32-E72D297353CC}">
              <c16:uniqueId val="{0000002D-D99C-4AF6-89E7-DC5FF432C6FE}"/>
            </c:ext>
          </c:extLst>
        </c:ser>
        <c:ser>
          <c:idx val="21"/>
          <c:order val="91"/>
          <c:tx>
            <c:strRef>
              <c:f>'_TB Analysis'!$AA$230</c:f>
              <c:strCache>
                <c:ptCount val="1"/>
              </c:strCache>
            </c:strRef>
          </c:tx>
          <c:spPr>
            <a:ln w="12700">
              <a:solidFill>
                <a:srgbClr val="000000"/>
              </a:solidFill>
            </a:ln>
          </c:spPr>
          <c:marker>
            <c:symbol val="none"/>
          </c:marker>
          <c:xVal>
            <c:numRef>
              <c:f>'_TB Analysis'!$AB$230:$AC$230</c:f>
              <c:numCache>
                <c:formatCode>General</c:formatCode>
                <c:ptCount val="2"/>
                <c:pt idx="0">
                  <c:v>#N/A</c:v>
                </c:pt>
                <c:pt idx="1">
                  <c:v>#N/A</c:v>
                </c:pt>
              </c:numCache>
            </c:numRef>
          </c:xVal>
          <c:yVal>
            <c:numRef>
              <c:f>'_TB Analysis'!$AD$230:$AE$230</c:f>
              <c:numCache>
                <c:formatCode>General</c:formatCode>
                <c:ptCount val="2"/>
                <c:pt idx="0">
                  <c:v>#N/A</c:v>
                </c:pt>
                <c:pt idx="1">
                  <c:v>#N/A</c:v>
                </c:pt>
              </c:numCache>
            </c:numRef>
          </c:yVal>
          <c:smooth val="0"/>
          <c:extLst>
            <c:ext xmlns:c16="http://schemas.microsoft.com/office/drawing/2014/chart" uri="{C3380CC4-5D6E-409C-BE32-E72D297353CC}">
              <c16:uniqueId val="{0000002E-D99C-4AF6-89E7-DC5FF432C6FE}"/>
            </c:ext>
          </c:extLst>
        </c:ser>
        <c:ser>
          <c:idx val="22"/>
          <c:order val="92"/>
          <c:tx>
            <c:strRef>
              <c:f>'_TB Analysis'!$AA$231</c:f>
              <c:strCache>
                <c:ptCount val="1"/>
              </c:strCache>
            </c:strRef>
          </c:tx>
          <c:spPr>
            <a:ln w="12700">
              <a:solidFill>
                <a:srgbClr val="000000"/>
              </a:solidFill>
            </a:ln>
          </c:spPr>
          <c:marker>
            <c:symbol val="none"/>
          </c:marker>
          <c:xVal>
            <c:numRef>
              <c:f>'_TB Analysis'!$AB$231:$AC$231</c:f>
              <c:numCache>
                <c:formatCode>General</c:formatCode>
                <c:ptCount val="2"/>
                <c:pt idx="0">
                  <c:v>#N/A</c:v>
                </c:pt>
                <c:pt idx="1">
                  <c:v>#N/A</c:v>
                </c:pt>
              </c:numCache>
            </c:numRef>
          </c:xVal>
          <c:yVal>
            <c:numRef>
              <c:f>'_TB Analysis'!$AD$231:$AE$231</c:f>
              <c:numCache>
                <c:formatCode>General</c:formatCode>
                <c:ptCount val="2"/>
                <c:pt idx="0">
                  <c:v>#N/A</c:v>
                </c:pt>
                <c:pt idx="1">
                  <c:v>#N/A</c:v>
                </c:pt>
              </c:numCache>
            </c:numRef>
          </c:yVal>
          <c:smooth val="0"/>
          <c:extLst>
            <c:ext xmlns:c16="http://schemas.microsoft.com/office/drawing/2014/chart" uri="{C3380CC4-5D6E-409C-BE32-E72D297353CC}">
              <c16:uniqueId val="{0000002F-D99C-4AF6-89E7-DC5FF432C6FE}"/>
            </c:ext>
          </c:extLst>
        </c:ser>
        <c:ser>
          <c:idx val="23"/>
          <c:order val="93"/>
          <c:tx>
            <c:strRef>
              <c:f>'_TB Analysis'!$AA$232</c:f>
              <c:strCache>
                <c:ptCount val="1"/>
              </c:strCache>
            </c:strRef>
          </c:tx>
          <c:spPr>
            <a:ln w="12700">
              <a:solidFill>
                <a:srgbClr val="000000"/>
              </a:solidFill>
            </a:ln>
          </c:spPr>
          <c:marker>
            <c:symbol val="none"/>
          </c:marker>
          <c:xVal>
            <c:numRef>
              <c:f>'_TB Analysis'!$AB$232:$AC$232</c:f>
              <c:numCache>
                <c:formatCode>General</c:formatCode>
                <c:ptCount val="2"/>
                <c:pt idx="0">
                  <c:v>#N/A</c:v>
                </c:pt>
                <c:pt idx="1">
                  <c:v>#N/A</c:v>
                </c:pt>
              </c:numCache>
            </c:numRef>
          </c:xVal>
          <c:yVal>
            <c:numRef>
              <c:f>'_TB Analysis'!$AD$232:$AE$232</c:f>
              <c:numCache>
                <c:formatCode>General</c:formatCode>
                <c:ptCount val="2"/>
                <c:pt idx="0">
                  <c:v>#N/A</c:v>
                </c:pt>
                <c:pt idx="1">
                  <c:v>#N/A</c:v>
                </c:pt>
              </c:numCache>
            </c:numRef>
          </c:yVal>
          <c:smooth val="0"/>
          <c:extLst>
            <c:ext xmlns:c16="http://schemas.microsoft.com/office/drawing/2014/chart" uri="{C3380CC4-5D6E-409C-BE32-E72D297353CC}">
              <c16:uniqueId val="{00000030-D99C-4AF6-89E7-DC5FF432C6FE}"/>
            </c:ext>
          </c:extLst>
        </c:ser>
        <c:ser>
          <c:idx val="24"/>
          <c:order val="94"/>
          <c:tx>
            <c:strRef>
              <c:f>'_TB Analysis'!$AA$233</c:f>
              <c:strCache>
                <c:ptCount val="1"/>
              </c:strCache>
            </c:strRef>
          </c:tx>
          <c:spPr>
            <a:ln w="12700">
              <a:solidFill>
                <a:srgbClr val="000000"/>
              </a:solidFill>
            </a:ln>
          </c:spPr>
          <c:marker>
            <c:symbol val="none"/>
          </c:marker>
          <c:xVal>
            <c:numRef>
              <c:f>'_TB Analysis'!$AB$233:$AC$233</c:f>
              <c:numCache>
                <c:formatCode>General</c:formatCode>
                <c:ptCount val="2"/>
                <c:pt idx="0">
                  <c:v>#N/A</c:v>
                </c:pt>
                <c:pt idx="1">
                  <c:v>#N/A</c:v>
                </c:pt>
              </c:numCache>
            </c:numRef>
          </c:xVal>
          <c:yVal>
            <c:numRef>
              <c:f>'_TB Analysis'!$AD$233:$AE$233</c:f>
              <c:numCache>
                <c:formatCode>General</c:formatCode>
                <c:ptCount val="2"/>
                <c:pt idx="0">
                  <c:v>#N/A</c:v>
                </c:pt>
                <c:pt idx="1">
                  <c:v>#N/A</c:v>
                </c:pt>
              </c:numCache>
            </c:numRef>
          </c:yVal>
          <c:smooth val="0"/>
          <c:extLst>
            <c:ext xmlns:c16="http://schemas.microsoft.com/office/drawing/2014/chart" uri="{C3380CC4-5D6E-409C-BE32-E72D297353CC}">
              <c16:uniqueId val="{00000031-D99C-4AF6-89E7-DC5FF432C6FE}"/>
            </c:ext>
          </c:extLst>
        </c:ser>
        <c:ser>
          <c:idx val="25"/>
          <c:order val="95"/>
          <c:tx>
            <c:strRef>
              <c:f>'_TB Analysis'!$AA$234</c:f>
              <c:strCache>
                <c:ptCount val="1"/>
              </c:strCache>
            </c:strRef>
          </c:tx>
          <c:spPr>
            <a:ln w="12700">
              <a:solidFill>
                <a:srgbClr val="000000"/>
              </a:solidFill>
            </a:ln>
          </c:spPr>
          <c:marker>
            <c:symbol val="none"/>
          </c:marker>
          <c:xVal>
            <c:numRef>
              <c:f>'_TB Analysis'!$AB$234:$AC$234</c:f>
              <c:numCache>
                <c:formatCode>General</c:formatCode>
                <c:ptCount val="2"/>
                <c:pt idx="0">
                  <c:v>#N/A</c:v>
                </c:pt>
                <c:pt idx="1">
                  <c:v>#N/A</c:v>
                </c:pt>
              </c:numCache>
            </c:numRef>
          </c:xVal>
          <c:yVal>
            <c:numRef>
              <c:f>'_TB Analysis'!$AD$234:$AE$234</c:f>
              <c:numCache>
                <c:formatCode>General</c:formatCode>
                <c:ptCount val="2"/>
                <c:pt idx="0">
                  <c:v>#N/A</c:v>
                </c:pt>
                <c:pt idx="1">
                  <c:v>#N/A</c:v>
                </c:pt>
              </c:numCache>
            </c:numRef>
          </c:yVal>
          <c:smooth val="0"/>
          <c:extLst>
            <c:ext xmlns:c16="http://schemas.microsoft.com/office/drawing/2014/chart" uri="{C3380CC4-5D6E-409C-BE32-E72D297353CC}">
              <c16:uniqueId val="{00000032-D99C-4AF6-89E7-DC5FF432C6FE}"/>
            </c:ext>
          </c:extLst>
        </c:ser>
        <c:ser>
          <c:idx val="26"/>
          <c:order val="96"/>
          <c:tx>
            <c:strRef>
              <c:f>'_TB Analysis'!$AA$235</c:f>
              <c:strCache>
                <c:ptCount val="1"/>
              </c:strCache>
            </c:strRef>
          </c:tx>
          <c:spPr>
            <a:ln w="12700">
              <a:solidFill>
                <a:srgbClr val="000000"/>
              </a:solidFill>
            </a:ln>
          </c:spPr>
          <c:marker>
            <c:symbol val="none"/>
          </c:marker>
          <c:xVal>
            <c:numRef>
              <c:f>'_TB Analysis'!$AB$235:$AC$235</c:f>
              <c:numCache>
                <c:formatCode>General</c:formatCode>
                <c:ptCount val="2"/>
                <c:pt idx="0">
                  <c:v>#N/A</c:v>
                </c:pt>
                <c:pt idx="1">
                  <c:v>#N/A</c:v>
                </c:pt>
              </c:numCache>
            </c:numRef>
          </c:xVal>
          <c:yVal>
            <c:numRef>
              <c:f>'_TB Analysis'!$AD$235:$AE$235</c:f>
              <c:numCache>
                <c:formatCode>General</c:formatCode>
                <c:ptCount val="2"/>
                <c:pt idx="0">
                  <c:v>#N/A</c:v>
                </c:pt>
                <c:pt idx="1">
                  <c:v>#N/A</c:v>
                </c:pt>
              </c:numCache>
            </c:numRef>
          </c:yVal>
          <c:smooth val="0"/>
          <c:extLst>
            <c:ext xmlns:c16="http://schemas.microsoft.com/office/drawing/2014/chart" uri="{C3380CC4-5D6E-409C-BE32-E72D297353CC}">
              <c16:uniqueId val="{00000033-D99C-4AF6-89E7-DC5FF432C6FE}"/>
            </c:ext>
          </c:extLst>
        </c:ser>
        <c:ser>
          <c:idx val="27"/>
          <c:order val="97"/>
          <c:tx>
            <c:strRef>
              <c:f>'_TB Analysis'!$AA$236</c:f>
              <c:strCache>
                <c:ptCount val="1"/>
              </c:strCache>
            </c:strRef>
          </c:tx>
          <c:spPr>
            <a:ln w="12700">
              <a:solidFill>
                <a:srgbClr val="000000"/>
              </a:solidFill>
            </a:ln>
          </c:spPr>
          <c:marker>
            <c:symbol val="none"/>
          </c:marker>
          <c:xVal>
            <c:numRef>
              <c:f>'_TB Analysis'!$AB$236:$AC$236</c:f>
              <c:numCache>
                <c:formatCode>General</c:formatCode>
                <c:ptCount val="2"/>
                <c:pt idx="0">
                  <c:v>#N/A</c:v>
                </c:pt>
                <c:pt idx="1">
                  <c:v>#N/A</c:v>
                </c:pt>
              </c:numCache>
            </c:numRef>
          </c:xVal>
          <c:yVal>
            <c:numRef>
              <c:f>'_TB Analysis'!$AD$236:$AE$236</c:f>
              <c:numCache>
                <c:formatCode>General</c:formatCode>
                <c:ptCount val="2"/>
                <c:pt idx="0">
                  <c:v>#N/A</c:v>
                </c:pt>
                <c:pt idx="1">
                  <c:v>#N/A</c:v>
                </c:pt>
              </c:numCache>
            </c:numRef>
          </c:yVal>
          <c:smooth val="0"/>
          <c:extLst>
            <c:ext xmlns:c16="http://schemas.microsoft.com/office/drawing/2014/chart" uri="{C3380CC4-5D6E-409C-BE32-E72D297353CC}">
              <c16:uniqueId val="{00000034-D99C-4AF6-89E7-DC5FF432C6FE}"/>
            </c:ext>
          </c:extLst>
        </c:ser>
        <c:ser>
          <c:idx val="28"/>
          <c:order val="98"/>
          <c:tx>
            <c:strRef>
              <c:f>'_TB Analysis'!$AA$237</c:f>
              <c:strCache>
                <c:ptCount val="1"/>
              </c:strCache>
            </c:strRef>
          </c:tx>
          <c:spPr>
            <a:ln w="12700">
              <a:solidFill>
                <a:srgbClr val="000000"/>
              </a:solidFill>
            </a:ln>
          </c:spPr>
          <c:marker>
            <c:symbol val="none"/>
          </c:marker>
          <c:xVal>
            <c:numRef>
              <c:f>'_TB Analysis'!$AB$237:$AC$237</c:f>
              <c:numCache>
                <c:formatCode>General</c:formatCode>
                <c:ptCount val="2"/>
                <c:pt idx="0">
                  <c:v>#N/A</c:v>
                </c:pt>
                <c:pt idx="1">
                  <c:v>#N/A</c:v>
                </c:pt>
              </c:numCache>
            </c:numRef>
          </c:xVal>
          <c:yVal>
            <c:numRef>
              <c:f>'_TB Analysis'!$AD$237:$AE$237</c:f>
              <c:numCache>
                <c:formatCode>General</c:formatCode>
                <c:ptCount val="2"/>
                <c:pt idx="0">
                  <c:v>#N/A</c:v>
                </c:pt>
                <c:pt idx="1">
                  <c:v>#N/A</c:v>
                </c:pt>
              </c:numCache>
            </c:numRef>
          </c:yVal>
          <c:smooth val="0"/>
          <c:extLst>
            <c:ext xmlns:c16="http://schemas.microsoft.com/office/drawing/2014/chart" uri="{C3380CC4-5D6E-409C-BE32-E72D297353CC}">
              <c16:uniqueId val="{00000035-D99C-4AF6-89E7-DC5FF432C6FE}"/>
            </c:ext>
          </c:extLst>
        </c:ser>
        <c:ser>
          <c:idx val="29"/>
          <c:order val="99"/>
          <c:tx>
            <c:strRef>
              <c:f>'_TB Analysis'!$AA$238</c:f>
              <c:strCache>
                <c:ptCount val="1"/>
              </c:strCache>
            </c:strRef>
          </c:tx>
          <c:spPr>
            <a:ln w="12700">
              <a:solidFill>
                <a:srgbClr val="000000"/>
              </a:solidFill>
            </a:ln>
          </c:spPr>
          <c:marker>
            <c:symbol val="none"/>
          </c:marker>
          <c:xVal>
            <c:numRef>
              <c:f>'_TB Analysis'!$AB$238:$AC$238</c:f>
              <c:numCache>
                <c:formatCode>General</c:formatCode>
                <c:ptCount val="2"/>
                <c:pt idx="0">
                  <c:v>#N/A</c:v>
                </c:pt>
                <c:pt idx="1">
                  <c:v>#N/A</c:v>
                </c:pt>
              </c:numCache>
            </c:numRef>
          </c:xVal>
          <c:yVal>
            <c:numRef>
              <c:f>'_TB Analysis'!$AD$238:$AE$238</c:f>
              <c:numCache>
                <c:formatCode>General</c:formatCode>
                <c:ptCount val="2"/>
                <c:pt idx="0">
                  <c:v>#N/A</c:v>
                </c:pt>
                <c:pt idx="1">
                  <c:v>#N/A</c:v>
                </c:pt>
              </c:numCache>
            </c:numRef>
          </c:yVal>
          <c:smooth val="0"/>
          <c:extLst>
            <c:ext xmlns:c16="http://schemas.microsoft.com/office/drawing/2014/chart" uri="{C3380CC4-5D6E-409C-BE32-E72D297353CC}">
              <c16:uniqueId val="{00000036-D99C-4AF6-89E7-DC5FF432C6FE}"/>
            </c:ext>
          </c:extLst>
        </c:ser>
        <c:ser>
          <c:idx val="30"/>
          <c:order val="100"/>
          <c:tx>
            <c:strRef>
              <c:f>'_TB Analysis'!$AA$239</c:f>
              <c:strCache>
                <c:ptCount val="1"/>
              </c:strCache>
            </c:strRef>
          </c:tx>
          <c:spPr>
            <a:ln w="12700">
              <a:solidFill>
                <a:srgbClr val="000000"/>
              </a:solidFill>
            </a:ln>
          </c:spPr>
          <c:marker>
            <c:symbol val="none"/>
          </c:marker>
          <c:xVal>
            <c:numRef>
              <c:f>'_TB Analysis'!$AB$239:$AC$239</c:f>
              <c:numCache>
                <c:formatCode>General</c:formatCode>
                <c:ptCount val="2"/>
                <c:pt idx="0">
                  <c:v>#N/A</c:v>
                </c:pt>
                <c:pt idx="1">
                  <c:v>#N/A</c:v>
                </c:pt>
              </c:numCache>
            </c:numRef>
          </c:xVal>
          <c:yVal>
            <c:numRef>
              <c:f>'_TB Analysis'!$AD$239:$AE$239</c:f>
              <c:numCache>
                <c:formatCode>General</c:formatCode>
                <c:ptCount val="2"/>
                <c:pt idx="0">
                  <c:v>#N/A</c:v>
                </c:pt>
                <c:pt idx="1">
                  <c:v>#N/A</c:v>
                </c:pt>
              </c:numCache>
            </c:numRef>
          </c:yVal>
          <c:smooth val="0"/>
          <c:extLst>
            <c:ext xmlns:c16="http://schemas.microsoft.com/office/drawing/2014/chart" uri="{C3380CC4-5D6E-409C-BE32-E72D297353CC}">
              <c16:uniqueId val="{00000037-D99C-4AF6-89E7-DC5FF432C6FE}"/>
            </c:ext>
          </c:extLst>
        </c:ser>
        <c:ser>
          <c:idx val="31"/>
          <c:order val="101"/>
          <c:tx>
            <c:strRef>
              <c:f>'_TB Analysis'!$AA$240</c:f>
              <c:strCache>
                <c:ptCount val="1"/>
              </c:strCache>
            </c:strRef>
          </c:tx>
          <c:spPr>
            <a:ln w="12700">
              <a:solidFill>
                <a:srgbClr val="000000"/>
              </a:solidFill>
            </a:ln>
          </c:spPr>
          <c:marker>
            <c:symbol val="none"/>
          </c:marker>
          <c:xVal>
            <c:numRef>
              <c:f>'_TB Analysis'!$AB$240:$AC$240</c:f>
              <c:numCache>
                <c:formatCode>General</c:formatCode>
                <c:ptCount val="2"/>
                <c:pt idx="0">
                  <c:v>#N/A</c:v>
                </c:pt>
                <c:pt idx="1">
                  <c:v>#N/A</c:v>
                </c:pt>
              </c:numCache>
            </c:numRef>
          </c:xVal>
          <c:yVal>
            <c:numRef>
              <c:f>'_TB Analysis'!$AD$240:$AE$240</c:f>
              <c:numCache>
                <c:formatCode>General</c:formatCode>
                <c:ptCount val="2"/>
                <c:pt idx="0">
                  <c:v>#N/A</c:v>
                </c:pt>
                <c:pt idx="1">
                  <c:v>#N/A</c:v>
                </c:pt>
              </c:numCache>
            </c:numRef>
          </c:yVal>
          <c:smooth val="0"/>
          <c:extLst>
            <c:ext xmlns:c16="http://schemas.microsoft.com/office/drawing/2014/chart" uri="{C3380CC4-5D6E-409C-BE32-E72D297353CC}">
              <c16:uniqueId val="{00000038-D99C-4AF6-89E7-DC5FF432C6FE}"/>
            </c:ext>
          </c:extLst>
        </c:ser>
        <c:ser>
          <c:idx val="32"/>
          <c:order val="102"/>
          <c:tx>
            <c:strRef>
              <c:f>'_TB Analysis'!$AA$241</c:f>
              <c:strCache>
                <c:ptCount val="1"/>
              </c:strCache>
            </c:strRef>
          </c:tx>
          <c:spPr>
            <a:ln w="12700">
              <a:solidFill>
                <a:srgbClr val="000000"/>
              </a:solidFill>
            </a:ln>
          </c:spPr>
          <c:marker>
            <c:symbol val="none"/>
          </c:marker>
          <c:xVal>
            <c:numRef>
              <c:f>'_TB Analysis'!$AB$241:$AC$241</c:f>
              <c:numCache>
                <c:formatCode>General</c:formatCode>
                <c:ptCount val="2"/>
                <c:pt idx="0">
                  <c:v>#N/A</c:v>
                </c:pt>
                <c:pt idx="1">
                  <c:v>#N/A</c:v>
                </c:pt>
              </c:numCache>
            </c:numRef>
          </c:xVal>
          <c:yVal>
            <c:numRef>
              <c:f>'_TB Analysis'!$AD$241:$AE$241</c:f>
              <c:numCache>
                <c:formatCode>General</c:formatCode>
                <c:ptCount val="2"/>
                <c:pt idx="0">
                  <c:v>#N/A</c:v>
                </c:pt>
                <c:pt idx="1">
                  <c:v>#N/A</c:v>
                </c:pt>
              </c:numCache>
            </c:numRef>
          </c:yVal>
          <c:smooth val="0"/>
          <c:extLst>
            <c:ext xmlns:c16="http://schemas.microsoft.com/office/drawing/2014/chart" uri="{C3380CC4-5D6E-409C-BE32-E72D297353CC}">
              <c16:uniqueId val="{00000039-D99C-4AF6-89E7-DC5FF432C6FE}"/>
            </c:ext>
          </c:extLst>
        </c:ser>
        <c:ser>
          <c:idx val="33"/>
          <c:order val="103"/>
          <c:tx>
            <c:strRef>
              <c:f>'_TB Analysis'!$AA$242</c:f>
              <c:strCache>
                <c:ptCount val="1"/>
              </c:strCache>
            </c:strRef>
          </c:tx>
          <c:spPr>
            <a:ln w="12700">
              <a:solidFill>
                <a:srgbClr val="000000"/>
              </a:solidFill>
            </a:ln>
          </c:spPr>
          <c:marker>
            <c:symbol val="none"/>
          </c:marker>
          <c:xVal>
            <c:numRef>
              <c:f>'_TB Analysis'!$AB$242:$AC$242</c:f>
              <c:numCache>
                <c:formatCode>General</c:formatCode>
                <c:ptCount val="2"/>
                <c:pt idx="0">
                  <c:v>#N/A</c:v>
                </c:pt>
                <c:pt idx="1">
                  <c:v>#N/A</c:v>
                </c:pt>
              </c:numCache>
            </c:numRef>
          </c:xVal>
          <c:yVal>
            <c:numRef>
              <c:f>'_TB Analysis'!$AD$242:$AE$242</c:f>
              <c:numCache>
                <c:formatCode>General</c:formatCode>
                <c:ptCount val="2"/>
                <c:pt idx="0">
                  <c:v>#N/A</c:v>
                </c:pt>
                <c:pt idx="1">
                  <c:v>#N/A</c:v>
                </c:pt>
              </c:numCache>
            </c:numRef>
          </c:yVal>
          <c:smooth val="0"/>
          <c:extLst>
            <c:ext xmlns:c16="http://schemas.microsoft.com/office/drawing/2014/chart" uri="{C3380CC4-5D6E-409C-BE32-E72D297353CC}">
              <c16:uniqueId val="{0000003A-D99C-4AF6-89E7-DC5FF432C6FE}"/>
            </c:ext>
          </c:extLst>
        </c:ser>
        <c:ser>
          <c:idx val="34"/>
          <c:order val="104"/>
          <c:tx>
            <c:strRef>
              <c:f>'_TB Analysis'!$AA$243</c:f>
              <c:strCache>
                <c:ptCount val="1"/>
              </c:strCache>
            </c:strRef>
          </c:tx>
          <c:spPr>
            <a:ln w="12700">
              <a:solidFill>
                <a:srgbClr val="000000"/>
              </a:solidFill>
            </a:ln>
          </c:spPr>
          <c:marker>
            <c:symbol val="none"/>
          </c:marker>
          <c:xVal>
            <c:numRef>
              <c:f>'_TB Analysis'!$AB$243:$AC$243</c:f>
              <c:numCache>
                <c:formatCode>General</c:formatCode>
                <c:ptCount val="2"/>
                <c:pt idx="0">
                  <c:v>#N/A</c:v>
                </c:pt>
                <c:pt idx="1">
                  <c:v>#N/A</c:v>
                </c:pt>
              </c:numCache>
            </c:numRef>
          </c:xVal>
          <c:yVal>
            <c:numRef>
              <c:f>'_TB Analysis'!$AD$243:$AE$243</c:f>
              <c:numCache>
                <c:formatCode>General</c:formatCode>
                <c:ptCount val="2"/>
                <c:pt idx="0">
                  <c:v>#N/A</c:v>
                </c:pt>
                <c:pt idx="1">
                  <c:v>#N/A</c:v>
                </c:pt>
              </c:numCache>
            </c:numRef>
          </c:yVal>
          <c:smooth val="0"/>
          <c:extLst>
            <c:ext xmlns:c16="http://schemas.microsoft.com/office/drawing/2014/chart" uri="{C3380CC4-5D6E-409C-BE32-E72D297353CC}">
              <c16:uniqueId val="{0000003B-D99C-4AF6-89E7-DC5FF432C6FE}"/>
            </c:ext>
          </c:extLst>
        </c:ser>
        <c:ser>
          <c:idx val="35"/>
          <c:order val="105"/>
          <c:tx>
            <c:strRef>
              <c:f>'_TB Analysis'!$AA$244</c:f>
              <c:strCache>
                <c:ptCount val="1"/>
              </c:strCache>
            </c:strRef>
          </c:tx>
          <c:spPr>
            <a:ln w="12700">
              <a:solidFill>
                <a:srgbClr val="000000"/>
              </a:solidFill>
            </a:ln>
          </c:spPr>
          <c:marker>
            <c:symbol val="none"/>
          </c:marker>
          <c:xVal>
            <c:numRef>
              <c:f>'_TB Analysis'!$AB$244:$AC$244</c:f>
              <c:numCache>
                <c:formatCode>General</c:formatCode>
                <c:ptCount val="2"/>
                <c:pt idx="0">
                  <c:v>#N/A</c:v>
                </c:pt>
                <c:pt idx="1">
                  <c:v>#N/A</c:v>
                </c:pt>
              </c:numCache>
            </c:numRef>
          </c:xVal>
          <c:yVal>
            <c:numRef>
              <c:f>'_TB Analysis'!$AD$244:$AE$244</c:f>
              <c:numCache>
                <c:formatCode>General</c:formatCode>
                <c:ptCount val="2"/>
                <c:pt idx="0">
                  <c:v>#N/A</c:v>
                </c:pt>
                <c:pt idx="1">
                  <c:v>#N/A</c:v>
                </c:pt>
              </c:numCache>
            </c:numRef>
          </c:yVal>
          <c:smooth val="0"/>
          <c:extLst>
            <c:ext xmlns:c16="http://schemas.microsoft.com/office/drawing/2014/chart" uri="{C3380CC4-5D6E-409C-BE32-E72D297353CC}">
              <c16:uniqueId val="{0000003C-D99C-4AF6-89E7-DC5FF432C6FE}"/>
            </c:ext>
          </c:extLst>
        </c:ser>
        <c:ser>
          <c:idx val="36"/>
          <c:order val="106"/>
          <c:tx>
            <c:strRef>
              <c:f>'_TB Analysis'!$AA$245</c:f>
              <c:strCache>
                <c:ptCount val="1"/>
              </c:strCache>
            </c:strRef>
          </c:tx>
          <c:spPr>
            <a:ln w="12700">
              <a:solidFill>
                <a:srgbClr val="000000"/>
              </a:solidFill>
            </a:ln>
          </c:spPr>
          <c:marker>
            <c:symbol val="none"/>
          </c:marker>
          <c:xVal>
            <c:numRef>
              <c:f>'_TB Analysis'!$AB$245:$AC$245</c:f>
              <c:numCache>
                <c:formatCode>General</c:formatCode>
                <c:ptCount val="2"/>
                <c:pt idx="0">
                  <c:v>#N/A</c:v>
                </c:pt>
                <c:pt idx="1">
                  <c:v>#N/A</c:v>
                </c:pt>
              </c:numCache>
            </c:numRef>
          </c:xVal>
          <c:yVal>
            <c:numRef>
              <c:f>'_TB Analysis'!$AD$245:$AE$245</c:f>
              <c:numCache>
                <c:formatCode>General</c:formatCode>
                <c:ptCount val="2"/>
                <c:pt idx="0">
                  <c:v>#N/A</c:v>
                </c:pt>
                <c:pt idx="1">
                  <c:v>#N/A</c:v>
                </c:pt>
              </c:numCache>
            </c:numRef>
          </c:yVal>
          <c:smooth val="0"/>
          <c:extLst>
            <c:ext xmlns:c16="http://schemas.microsoft.com/office/drawing/2014/chart" uri="{C3380CC4-5D6E-409C-BE32-E72D297353CC}">
              <c16:uniqueId val="{0000003D-D99C-4AF6-89E7-DC5FF432C6FE}"/>
            </c:ext>
          </c:extLst>
        </c:ser>
        <c:ser>
          <c:idx val="37"/>
          <c:order val="107"/>
          <c:tx>
            <c:strRef>
              <c:f>'_TB Analysis'!$AA$246</c:f>
              <c:strCache>
                <c:ptCount val="1"/>
              </c:strCache>
            </c:strRef>
          </c:tx>
          <c:spPr>
            <a:ln w="12700">
              <a:solidFill>
                <a:srgbClr val="000000"/>
              </a:solidFill>
            </a:ln>
          </c:spPr>
          <c:marker>
            <c:symbol val="none"/>
          </c:marker>
          <c:xVal>
            <c:numRef>
              <c:f>'_TB Analysis'!$AB$246:$AC$246</c:f>
              <c:numCache>
                <c:formatCode>General</c:formatCode>
                <c:ptCount val="2"/>
                <c:pt idx="0">
                  <c:v>#N/A</c:v>
                </c:pt>
                <c:pt idx="1">
                  <c:v>#N/A</c:v>
                </c:pt>
              </c:numCache>
            </c:numRef>
          </c:xVal>
          <c:yVal>
            <c:numRef>
              <c:f>'_TB Analysis'!$AD$246:$AE$246</c:f>
              <c:numCache>
                <c:formatCode>General</c:formatCode>
                <c:ptCount val="2"/>
                <c:pt idx="0">
                  <c:v>#N/A</c:v>
                </c:pt>
                <c:pt idx="1">
                  <c:v>#N/A</c:v>
                </c:pt>
              </c:numCache>
            </c:numRef>
          </c:yVal>
          <c:smooth val="0"/>
          <c:extLst>
            <c:ext xmlns:c16="http://schemas.microsoft.com/office/drawing/2014/chart" uri="{C3380CC4-5D6E-409C-BE32-E72D297353CC}">
              <c16:uniqueId val="{0000003E-D99C-4AF6-89E7-DC5FF432C6FE}"/>
            </c:ext>
          </c:extLst>
        </c:ser>
        <c:ser>
          <c:idx val="38"/>
          <c:order val="108"/>
          <c:tx>
            <c:strRef>
              <c:f>'_TB Analysis'!$AA$247</c:f>
              <c:strCache>
                <c:ptCount val="1"/>
              </c:strCache>
            </c:strRef>
          </c:tx>
          <c:spPr>
            <a:ln w="12700">
              <a:solidFill>
                <a:srgbClr val="000000"/>
              </a:solidFill>
            </a:ln>
          </c:spPr>
          <c:marker>
            <c:symbol val="none"/>
          </c:marker>
          <c:xVal>
            <c:numRef>
              <c:f>'_TB Analysis'!$AB$247:$AC$247</c:f>
              <c:numCache>
                <c:formatCode>General</c:formatCode>
                <c:ptCount val="2"/>
                <c:pt idx="0">
                  <c:v>#N/A</c:v>
                </c:pt>
                <c:pt idx="1">
                  <c:v>#N/A</c:v>
                </c:pt>
              </c:numCache>
            </c:numRef>
          </c:xVal>
          <c:yVal>
            <c:numRef>
              <c:f>'_TB Analysis'!$AD$247:$AE$247</c:f>
              <c:numCache>
                <c:formatCode>General</c:formatCode>
                <c:ptCount val="2"/>
                <c:pt idx="0">
                  <c:v>#N/A</c:v>
                </c:pt>
                <c:pt idx="1">
                  <c:v>#N/A</c:v>
                </c:pt>
              </c:numCache>
            </c:numRef>
          </c:yVal>
          <c:smooth val="0"/>
          <c:extLst>
            <c:ext xmlns:c16="http://schemas.microsoft.com/office/drawing/2014/chart" uri="{C3380CC4-5D6E-409C-BE32-E72D297353CC}">
              <c16:uniqueId val="{0000003F-D99C-4AF6-89E7-DC5FF432C6FE}"/>
            </c:ext>
          </c:extLst>
        </c:ser>
        <c:ser>
          <c:idx val="39"/>
          <c:order val="109"/>
          <c:tx>
            <c:strRef>
              <c:f>'_TB Analysis'!$AA$248</c:f>
              <c:strCache>
                <c:ptCount val="1"/>
              </c:strCache>
            </c:strRef>
          </c:tx>
          <c:spPr>
            <a:ln w="12700">
              <a:solidFill>
                <a:srgbClr val="000000"/>
              </a:solidFill>
            </a:ln>
          </c:spPr>
          <c:marker>
            <c:symbol val="none"/>
          </c:marker>
          <c:xVal>
            <c:numRef>
              <c:f>'_TB Analysis'!$AB$248:$AC$248</c:f>
              <c:numCache>
                <c:formatCode>General</c:formatCode>
                <c:ptCount val="2"/>
                <c:pt idx="0">
                  <c:v>#N/A</c:v>
                </c:pt>
                <c:pt idx="1">
                  <c:v>#N/A</c:v>
                </c:pt>
              </c:numCache>
            </c:numRef>
          </c:xVal>
          <c:yVal>
            <c:numRef>
              <c:f>'_TB Analysis'!$AD$248:$AE$248</c:f>
              <c:numCache>
                <c:formatCode>General</c:formatCode>
                <c:ptCount val="2"/>
                <c:pt idx="0">
                  <c:v>#N/A</c:v>
                </c:pt>
                <c:pt idx="1">
                  <c:v>#N/A</c:v>
                </c:pt>
              </c:numCache>
            </c:numRef>
          </c:yVal>
          <c:smooth val="0"/>
          <c:extLst>
            <c:ext xmlns:c16="http://schemas.microsoft.com/office/drawing/2014/chart" uri="{C3380CC4-5D6E-409C-BE32-E72D297353CC}">
              <c16:uniqueId val="{00000040-D99C-4AF6-89E7-DC5FF432C6FE}"/>
            </c:ext>
          </c:extLst>
        </c:ser>
        <c:ser>
          <c:idx val="40"/>
          <c:order val="110"/>
          <c:tx>
            <c:strRef>
              <c:f>'_TB Analysis'!$AA$249</c:f>
              <c:strCache>
                <c:ptCount val="1"/>
              </c:strCache>
            </c:strRef>
          </c:tx>
          <c:spPr>
            <a:ln w="12700">
              <a:solidFill>
                <a:srgbClr val="000000"/>
              </a:solidFill>
            </a:ln>
          </c:spPr>
          <c:marker>
            <c:symbol val="none"/>
          </c:marker>
          <c:xVal>
            <c:numRef>
              <c:f>'_TB Analysis'!$AB$249:$AC$249</c:f>
              <c:numCache>
                <c:formatCode>General</c:formatCode>
                <c:ptCount val="2"/>
                <c:pt idx="0">
                  <c:v>#N/A</c:v>
                </c:pt>
                <c:pt idx="1">
                  <c:v>#N/A</c:v>
                </c:pt>
              </c:numCache>
            </c:numRef>
          </c:xVal>
          <c:yVal>
            <c:numRef>
              <c:f>'_TB Analysis'!$AD$249:$AE$249</c:f>
              <c:numCache>
                <c:formatCode>General</c:formatCode>
                <c:ptCount val="2"/>
                <c:pt idx="0">
                  <c:v>#N/A</c:v>
                </c:pt>
                <c:pt idx="1">
                  <c:v>#N/A</c:v>
                </c:pt>
              </c:numCache>
            </c:numRef>
          </c:yVal>
          <c:smooth val="0"/>
          <c:extLst>
            <c:ext xmlns:c16="http://schemas.microsoft.com/office/drawing/2014/chart" uri="{C3380CC4-5D6E-409C-BE32-E72D297353CC}">
              <c16:uniqueId val="{00000041-D99C-4AF6-89E7-DC5FF432C6FE}"/>
            </c:ext>
          </c:extLst>
        </c:ser>
        <c:ser>
          <c:idx val="41"/>
          <c:order val="111"/>
          <c:tx>
            <c:strRef>
              <c:f>'_TB Analysis'!$AA$250</c:f>
              <c:strCache>
                <c:ptCount val="1"/>
              </c:strCache>
            </c:strRef>
          </c:tx>
          <c:spPr>
            <a:ln w="12700">
              <a:solidFill>
                <a:srgbClr val="000000"/>
              </a:solidFill>
            </a:ln>
          </c:spPr>
          <c:marker>
            <c:symbol val="none"/>
          </c:marker>
          <c:xVal>
            <c:numRef>
              <c:f>'_TB Analysis'!$AB$250:$AC$250</c:f>
              <c:numCache>
                <c:formatCode>General</c:formatCode>
                <c:ptCount val="2"/>
                <c:pt idx="0">
                  <c:v>#N/A</c:v>
                </c:pt>
                <c:pt idx="1">
                  <c:v>#N/A</c:v>
                </c:pt>
              </c:numCache>
            </c:numRef>
          </c:xVal>
          <c:yVal>
            <c:numRef>
              <c:f>'_TB Analysis'!$AD$250:$AE$250</c:f>
              <c:numCache>
                <c:formatCode>General</c:formatCode>
                <c:ptCount val="2"/>
                <c:pt idx="0">
                  <c:v>#N/A</c:v>
                </c:pt>
                <c:pt idx="1">
                  <c:v>#N/A</c:v>
                </c:pt>
              </c:numCache>
            </c:numRef>
          </c:yVal>
          <c:smooth val="0"/>
          <c:extLst>
            <c:ext xmlns:c16="http://schemas.microsoft.com/office/drawing/2014/chart" uri="{C3380CC4-5D6E-409C-BE32-E72D297353CC}">
              <c16:uniqueId val="{00000042-D99C-4AF6-89E7-DC5FF432C6FE}"/>
            </c:ext>
          </c:extLst>
        </c:ser>
        <c:ser>
          <c:idx val="42"/>
          <c:order val="112"/>
          <c:tx>
            <c:strRef>
              <c:f>'_TB Analysis'!$AA$251</c:f>
              <c:strCache>
                <c:ptCount val="1"/>
              </c:strCache>
            </c:strRef>
          </c:tx>
          <c:spPr>
            <a:ln w="12700">
              <a:solidFill>
                <a:srgbClr val="000000"/>
              </a:solidFill>
            </a:ln>
          </c:spPr>
          <c:marker>
            <c:symbol val="none"/>
          </c:marker>
          <c:xVal>
            <c:numRef>
              <c:f>'_TB Analysis'!$AB$251:$AC$251</c:f>
              <c:numCache>
                <c:formatCode>General</c:formatCode>
                <c:ptCount val="2"/>
                <c:pt idx="0">
                  <c:v>#N/A</c:v>
                </c:pt>
                <c:pt idx="1">
                  <c:v>#N/A</c:v>
                </c:pt>
              </c:numCache>
            </c:numRef>
          </c:xVal>
          <c:yVal>
            <c:numRef>
              <c:f>'_TB Analysis'!$AD$251:$AE$251</c:f>
              <c:numCache>
                <c:formatCode>General</c:formatCode>
                <c:ptCount val="2"/>
                <c:pt idx="0">
                  <c:v>#N/A</c:v>
                </c:pt>
                <c:pt idx="1">
                  <c:v>#N/A</c:v>
                </c:pt>
              </c:numCache>
            </c:numRef>
          </c:yVal>
          <c:smooth val="0"/>
          <c:extLst>
            <c:ext xmlns:c16="http://schemas.microsoft.com/office/drawing/2014/chart" uri="{C3380CC4-5D6E-409C-BE32-E72D297353CC}">
              <c16:uniqueId val="{00000043-D99C-4AF6-89E7-DC5FF432C6FE}"/>
            </c:ext>
          </c:extLst>
        </c:ser>
        <c:ser>
          <c:idx val="43"/>
          <c:order val="113"/>
          <c:tx>
            <c:strRef>
              <c:f>'_TB Analysis'!$AA$252</c:f>
              <c:strCache>
                <c:ptCount val="1"/>
              </c:strCache>
            </c:strRef>
          </c:tx>
          <c:spPr>
            <a:ln w="12700">
              <a:solidFill>
                <a:srgbClr val="000000"/>
              </a:solidFill>
            </a:ln>
          </c:spPr>
          <c:marker>
            <c:symbol val="none"/>
          </c:marker>
          <c:xVal>
            <c:numRef>
              <c:f>'_TB Analysis'!$AB$252:$AC$252</c:f>
              <c:numCache>
                <c:formatCode>General</c:formatCode>
                <c:ptCount val="2"/>
                <c:pt idx="0">
                  <c:v>#N/A</c:v>
                </c:pt>
                <c:pt idx="1">
                  <c:v>#N/A</c:v>
                </c:pt>
              </c:numCache>
            </c:numRef>
          </c:xVal>
          <c:yVal>
            <c:numRef>
              <c:f>'_TB Analysis'!$AD$252:$AE$252</c:f>
              <c:numCache>
                <c:formatCode>General</c:formatCode>
                <c:ptCount val="2"/>
                <c:pt idx="0">
                  <c:v>#N/A</c:v>
                </c:pt>
                <c:pt idx="1">
                  <c:v>#N/A</c:v>
                </c:pt>
              </c:numCache>
            </c:numRef>
          </c:yVal>
          <c:smooth val="0"/>
          <c:extLst>
            <c:ext xmlns:c16="http://schemas.microsoft.com/office/drawing/2014/chart" uri="{C3380CC4-5D6E-409C-BE32-E72D297353CC}">
              <c16:uniqueId val="{00000044-D99C-4AF6-89E7-DC5FF432C6FE}"/>
            </c:ext>
          </c:extLst>
        </c:ser>
        <c:ser>
          <c:idx val="44"/>
          <c:order val="114"/>
          <c:tx>
            <c:strRef>
              <c:f>'_TB Analysis'!$AA$253</c:f>
              <c:strCache>
                <c:ptCount val="1"/>
              </c:strCache>
            </c:strRef>
          </c:tx>
          <c:spPr>
            <a:ln w="12700">
              <a:solidFill>
                <a:srgbClr val="000000"/>
              </a:solidFill>
            </a:ln>
          </c:spPr>
          <c:marker>
            <c:symbol val="none"/>
          </c:marker>
          <c:xVal>
            <c:numRef>
              <c:f>'_TB Analysis'!$AB$253:$AC$253</c:f>
              <c:numCache>
                <c:formatCode>General</c:formatCode>
                <c:ptCount val="2"/>
                <c:pt idx="0">
                  <c:v>#N/A</c:v>
                </c:pt>
                <c:pt idx="1">
                  <c:v>#N/A</c:v>
                </c:pt>
              </c:numCache>
            </c:numRef>
          </c:xVal>
          <c:yVal>
            <c:numRef>
              <c:f>'_TB Analysis'!$AD$253:$AE$253</c:f>
              <c:numCache>
                <c:formatCode>General</c:formatCode>
                <c:ptCount val="2"/>
                <c:pt idx="0">
                  <c:v>#N/A</c:v>
                </c:pt>
                <c:pt idx="1">
                  <c:v>#N/A</c:v>
                </c:pt>
              </c:numCache>
            </c:numRef>
          </c:yVal>
          <c:smooth val="0"/>
          <c:extLst>
            <c:ext xmlns:c16="http://schemas.microsoft.com/office/drawing/2014/chart" uri="{C3380CC4-5D6E-409C-BE32-E72D297353CC}">
              <c16:uniqueId val="{00000045-D99C-4AF6-89E7-DC5FF432C6FE}"/>
            </c:ext>
          </c:extLst>
        </c:ser>
        <c:ser>
          <c:idx val="45"/>
          <c:order val="115"/>
          <c:tx>
            <c:strRef>
              <c:f>'_TB Analysis'!$AA$254</c:f>
              <c:strCache>
                <c:ptCount val="1"/>
              </c:strCache>
            </c:strRef>
          </c:tx>
          <c:spPr>
            <a:ln w="12700">
              <a:solidFill>
                <a:srgbClr val="000000"/>
              </a:solidFill>
            </a:ln>
          </c:spPr>
          <c:marker>
            <c:symbol val="none"/>
          </c:marker>
          <c:xVal>
            <c:numRef>
              <c:f>'_TB Analysis'!$AB$254:$AC$254</c:f>
              <c:numCache>
                <c:formatCode>General</c:formatCode>
                <c:ptCount val="2"/>
                <c:pt idx="0">
                  <c:v>#N/A</c:v>
                </c:pt>
                <c:pt idx="1">
                  <c:v>#N/A</c:v>
                </c:pt>
              </c:numCache>
            </c:numRef>
          </c:xVal>
          <c:yVal>
            <c:numRef>
              <c:f>'_TB Analysis'!$AD$254:$AE$254</c:f>
              <c:numCache>
                <c:formatCode>General</c:formatCode>
                <c:ptCount val="2"/>
                <c:pt idx="0">
                  <c:v>#N/A</c:v>
                </c:pt>
                <c:pt idx="1">
                  <c:v>#N/A</c:v>
                </c:pt>
              </c:numCache>
            </c:numRef>
          </c:yVal>
          <c:smooth val="0"/>
          <c:extLst>
            <c:ext xmlns:c16="http://schemas.microsoft.com/office/drawing/2014/chart" uri="{C3380CC4-5D6E-409C-BE32-E72D297353CC}">
              <c16:uniqueId val="{00000046-D99C-4AF6-89E7-DC5FF432C6FE}"/>
            </c:ext>
          </c:extLst>
        </c:ser>
        <c:ser>
          <c:idx val="46"/>
          <c:order val="116"/>
          <c:tx>
            <c:strRef>
              <c:f>'_TB Analysis'!$AA$255</c:f>
              <c:strCache>
                <c:ptCount val="1"/>
              </c:strCache>
            </c:strRef>
          </c:tx>
          <c:spPr>
            <a:ln w="12700">
              <a:solidFill>
                <a:srgbClr val="000000"/>
              </a:solidFill>
            </a:ln>
          </c:spPr>
          <c:marker>
            <c:symbol val="none"/>
          </c:marker>
          <c:xVal>
            <c:numRef>
              <c:f>'_TB Analysis'!$AB$255:$AC$255</c:f>
              <c:numCache>
                <c:formatCode>General</c:formatCode>
                <c:ptCount val="2"/>
                <c:pt idx="0">
                  <c:v>#N/A</c:v>
                </c:pt>
                <c:pt idx="1">
                  <c:v>#N/A</c:v>
                </c:pt>
              </c:numCache>
            </c:numRef>
          </c:xVal>
          <c:yVal>
            <c:numRef>
              <c:f>'_TB Analysis'!$AD$255:$AE$255</c:f>
              <c:numCache>
                <c:formatCode>General</c:formatCode>
                <c:ptCount val="2"/>
                <c:pt idx="0">
                  <c:v>#N/A</c:v>
                </c:pt>
                <c:pt idx="1">
                  <c:v>#N/A</c:v>
                </c:pt>
              </c:numCache>
            </c:numRef>
          </c:yVal>
          <c:smooth val="0"/>
          <c:extLst>
            <c:ext xmlns:c16="http://schemas.microsoft.com/office/drawing/2014/chart" uri="{C3380CC4-5D6E-409C-BE32-E72D297353CC}">
              <c16:uniqueId val="{00000047-D99C-4AF6-89E7-DC5FF432C6FE}"/>
            </c:ext>
          </c:extLst>
        </c:ser>
        <c:ser>
          <c:idx val="47"/>
          <c:order val="117"/>
          <c:tx>
            <c:strRef>
              <c:f>'_TB Analysis'!$AA$256</c:f>
              <c:strCache>
                <c:ptCount val="1"/>
              </c:strCache>
            </c:strRef>
          </c:tx>
          <c:spPr>
            <a:ln w="12700">
              <a:solidFill>
                <a:srgbClr val="000000"/>
              </a:solidFill>
            </a:ln>
          </c:spPr>
          <c:marker>
            <c:symbol val="none"/>
          </c:marker>
          <c:xVal>
            <c:numRef>
              <c:f>'_TB Analysis'!$AB$256:$AC$256</c:f>
              <c:numCache>
                <c:formatCode>General</c:formatCode>
                <c:ptCount val="2"/>
                <c:pt idx="0">
                  <c:v>#N/A</c:v>
                </c:pt>
                <c:pt idx="1">
                  <c:v>#N/A</c:v>
                </c:pt>
              </c:numCache>
            </c:numRef>
          </c:xVal>
          <c:yVal>
            <c:numRef>
              <c:f>'_TB Analysis'!$AD$256:$AE$256</c:f>
              <c:numCache>
                <c:formatCode>General</c:formatCode>
                <c:ptCount val="2"/>
                <c:pt idx="0">
                  <c:v>#N/A</c:v>
                </c:pt>
                <c:pt idx="1">
                  <c:v>#N/A</c:v>
                </c:pt>
              </c:numCache>
            </c:numRef>
          </c:yVal>
          <c:smooth val="0"/>
          <c:extLst>
            <c:ext xmlns:c16="http://schemas.microsoft.com/office/drawing/2014/chart" uri="{C3380CC4-5D6E-409C-BE32-E72D297353CC}">
              <c16:uniqueId val="{00000048-D99C-4AF6-89E7-DC5FF432C6FE}"/>
            </c:ext>
          </c:extLst>
        </c:ser>
        <c:ser>
          <c:idx val="48"/>
          <c:order val="118"/>
          <c:tx>
            <c:strRef>
              <c:f>'_TB Analysis'!$AA$257</c:f>
              <c:strCache>
                <c:ptCount val="1"/>
              </c:strCache>
            </c:strRef>
          </c:tx>
          <c:spPr>
            <a:ln w="12700">
              <a:solidFill>
                <a:srgbClr val="000000"/>
              </a:solidFill>
            </a:ln>
          </c:spPr>
          <c:marker>
            <c:symbol val="none"/>
          </c:marker>
          <c:xVal>
            <c:numRef>
              <c:f>'_TB Analysis'!$AB$257:$AC$257</c:f>
              <c:numCache>
                <c:formatCode>General</c:formatCode>
                <c:ptCount val="2"/>
                <c:pt idx="0">
                  <c:v>#N/A</c:v>
                </c:pt>
                <c:pt idx="1">
                  <c:v>#N/A</c:v>
                </c:pt>
              </c:numCache>
            </c:numRef>
          </c:xVal>
          <c:yVal>
            <c:numRef>
              <c:f>'_TB Analysis'!$AD$257:$AE$257</c:f>
              <c:numCache>
                <c:formatCode>General</c:formatCode>
                <c:ptCount val="2"/>
                <c:pt idx="0">
                  <c:v>#N/A</c:v>
                </c:pt>
                <c:pt idx="1">
                  <c:v>#N/A</c:v>
                </c:pt>
              </c:numCache>
            </c:numRef>
          </c:yVal>
          <c:smooth val="0"/>
          <c:extLst>
            <c:ext xmlns:c16="http://schemas.microsoft.com/office/drawing/2014/chart" uri="{C3380CC4-5D6E-409C-BE32-E72D297353CC}">
              <c16:uniqueId val="{00000049-D99C-4AF6-89E7-DC5FF432C6FE}"/>
            </c:ext>
          </c:extLst>
        </c:ser>
        <c:ser>
          <c:idx val="49"/>
          <c:order val="119"/>
          <c:tx>
            <c:strRef>
              <c:f>'_TB Analysis'!$AA$258</c:f>
              <c:strCache>
                <c:ptCount val="1"/>
              </c:strCache>
            </c:strRef>
          </c:tx>
          <c:spPr>
            <a:ln w="12700">
              <a:solidFill>
                <a:srgbClr val="000000"/>
              </a:solidFill>
            </a:ln>
          </c:spPr>
          <c:marker>
            <c:symbol val="none"/>
          </c:marker>
          <c:xVal>
            <c:numRef>
              <c:f>'_TB Analysis'!$AB$258:$AC$258</c:f>
              <c:numCache>
                <c:formatCode>General</c:formatCode>
                <c:ptCount val="2"/>
                <c:pt idx="0">
                  <c:v>#N/A</c:v>
                </c:pt>
                <c:pt idx="1">
                  <c:v>#N/A</c:v>
                </c:pt>
              </c:numCache>
            </c:numRef>
          </c:xVal>
          <c:yVal>
            <c:numRef>
              <c:f>'_TB Analysis'!$AD$258:$AE$258</c:f>
              <c:numCache>
                <c:formatCode>General</c:formatCode>
                <c:ptCount val="2"/>
                <c:pt idx="0">
                  <c:v>#N/A</c:v>
                </c:pt>
                <c:pt idx="1">
                  <c:v>#N/A</c:v>
                </c:pt>
              </c:numCache>
            </c:numRef>
          </c:yVal>
          <c:smooth val="0"/>
          <c:extLst>
            <c:ext xmlns:c16="http://schemas.microsoft.com/office/drawing/2014/chart" uri="{C3380CC4-5D6E-409C-BE32-E72D297353CC}">
              <c16:uniqueId val="{0000004A-D99C-4AF6-89E7-DC5FF432C6FE}"/>
            </c:ext>
          </c:extLst>
        </c:ser>
        <c:ser>
          <c:idx val="50"/>
          <c:order val="120"/>
          <c:tx>
            <c:strRef>
              <c:f>'_TB Analysis'!$AA$259</c:f>
              <c:strCache>
                <c:ptCount val="1"/>
              </c:strCache>
            </c:strRef>
          </c:tx>
          <c:spPr>
            <a:ln w="12700">
              <a:solidFill>
                <a:srgbClr val="000000"/>
              </a:solidFill>
            </a:ln>
          </c:spPr>
          <c:marker>
            <c:symbol val="none"/>
          </c:marker>
          <c:xVal>
            <c:numRef>
              <c:f>'_TB Analysis'!$AB$259:$AC$259</c:f>
              <c:numCache>
                <c:formatCode>General</c:formatCode>
                <c:ptCount val="2"/>
                <c:pt idx="0">
                  <c:v>#N/A</c:v>
                </c:pt>
                <c:pt idx="1">
                  <c:v>#N/A</c:v>
                </c:pt>
              </c:numCache>
            </c:numRef>
          </c:xVal>
          <c:yVal>
            <c:numRef>
              <c:f>'_TB Analysis'!$AD$259:$AE$259</c:f>
              <c:numCache>
                <c:formatCode>General</c:formatCode>
                <c:ptCount val="2"/>
                <c:pt idx="0">
                  <c:v>#N/A</c:v>
                </c:pt>
                <c:pt idx="1">
                  <c:v>#N/A</c:v>
                </c:pt>
              </c:numCache>
            </c:numRef>
          </c:yVal>
          <c:smooth val="0"/>
          <c:extLst>
            <c:ext xmlns:c16="http://schemas.microsoft.com/office/drawing/2014/chart" uri="{C3380CC4-5D6E-409C-BE32-E72D297353CC}">
              <c16:uniqueId val="{0000004B-D99C-4AF6-89E7-DC5FF432C6FE}"/>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'_MB Analysis'!$AA$329</c:f>
              <c:strCache>
                <c:ptCount val="1"/>
              </c:strCache>
            </c:strRef>
          </c:tx>
          <c:spPr>
            <a:ln w="12700">
              <a:solidFill>
                <a:srgbClr val="000000"/>
              </a:solidFill>
            </a:ln>
          </c:spPr>
          <c:marker>
            <c:symbol val="none"/>
          </c:marker>
          <c:xVal>
            <c:numRef>
              <c:f>'_MB Analysis'!$AB$329:$AC$329</c:f>
              <c:numCache>
                <c:formatCode>General</c:formatCode>
                <c:ptCount val="2"/>
                <c:pt idx="0">
                  <c:v>#N/A</c:v>
                </c:pt>
                <c:pt idx="1">
                  <c:v>#N/A</c:v>
                </c:pt>
              </c:numCache>
            </c:numRef>
          </c:xVal>
          <c:yVal>
            <c:numRef>
              <c:f>'_MB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9D9F-430C-8150-B7C6CDB9D760}"/>
            </c:ext>
          </c:extLst>
        </c:ser>
        <c:ser>
          <c:idx val="119"/>
          <c:order val="1"/>
          <c:tx>
            <c:strRef>
              <c:f>'_MB Analysis'!$AA$328</c:f>
              <c:strCache>
                <c:ptCount val="1"/>
              </c:strCache>
            </c:strRef>
          </c:tx>
          <c:spPr>
            <a:ln w="12700">
              <a:solidFill>
                <a:srgbClr val="000000"/>
              </a:solidFill>
            </a:ln>
          </c:spPr>
          <c:marker>
            <c:symbol val="none"/>
          </c:marker>
          <c:xVal>
            <c:numRef>
              <c:f>'_MB Analysis'!$AB$328:$AC$328</c:f>
              <c:numCache>
                <c:formatCode>General</c:formatCode>
                <c:ptCount val="2"/>
                <c:pt idx="0">
                  <c:v>#N/A</c:v>
                </c:pt>
                <c:pt idx="1">
                  <c:v>#N/A</c:v>
                </c:pt>
              </c:numCache>
            </c:numRef>
          </c:xVal>
          <c:yVal>
            <c:numRef>
              <c:f>'_MB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9D9F-430C-8150-B7C6CDB9D760}"/>
            </c:ext>
          </c:extLst>
        </c:ser>
        <c:ser>
          <c:idx val="118"/>
          <c:order val="2"/>
          <c:tx>
            <c:strRef>
              <c:f>'_MB Analysis'!$AA$327</c:f>
              <c:strCache>
                <c:ptCount val="1"/>
              </c:strCache>
            </c:strRef>
          </c:tx>
          <c:spPr>
            <a:ln w="12700">
              <a:solidFill>
                <a:srgbClr val="000000"/>
              </a:solidFill>
            </a:ln>
          </c:spPr>
          <c:marker>
            <c:symbol val="none"/>
          </c:marker>
          <c:xVal>
            <c:numRef>
              <c:f>'_MB Analysis'!$AB$327:$AC$327</c:f>
              <c:numCache>
                <c:formatCode>General</c:formatCode>
                <c:ptCount val="2"/>
                <c:pt idx="0">
                  <c:v>#N/A</c:v>
                </c:pt>
                <c:pt idx="1">
                  <c:v>#N/A</c:v>
                </c:pt>
              </c:numCache>
            </c:numRef>
          </c:xVal>
          <c:yVal>
            <c:numRef>
              <c:f>'_MB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9D9F-430C-8150-B7C6CDB9D760}"/>
            </c:ext>
          </c:extLst>
        </c:ser>
        <c:ser>
          <c:idx val="117"/>
          <c:order val="3"/>
          <c:tx>
            <c:strRef>
              <c:f>'_MB Analysis'!$AA$326</c:f>
              <c:strCache>
                <c:ptCount val="1"/>
              </c:strCache>
            </c:strRef>
          </c:tx>
          <c:spPr>
            <a:ln w="12700">
              <a:solidFill>
                <a:srgbClr val="000000"/>
              </a:solidFill>
            </a:ln>
          </c:spPr>
          <c:marker>
            <c:symbol val="none"/>
          </c:marker>
          <c:xVal>
            <c:numRef>
              <c:f>'_MB Analysis'!$AB$326:$AC$326</c:f>
              <c:numCache>
                <c:formatCode>General</c:formatCode>
                <c:ptCount val="2"/>
                <c:pt idx="0">
                  <c:v>#N/A</c:v>
                </c:pt>
                <c:pt idx="1">
                  <c:v>#N/A</c:v>
                </c:pt>
              </c:numCache>
            </c:numRef>
          </c:xVal>
          <c:yVal>
            <c:numRef>
              <c:f>'_MB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9D9F-430C-8150-B7C6CDB9D760}"/>
            </c:ext>
          </c:extLst>
        </c:ser>
        <c:ser>
          <c:idx val="116"/>
          <c:order val="4"/>
          <c:tx>
            <c:strRef>
              <c:f>'_MB Analysis'!$AA$325</c:f>
              <c:strCache>
                <c:ptCount val="1"/>
              </c:strCache>
            </c:strRef>
          </c:tx>
          <c:spPr>
            <a:ln w="12700">
              <a:solidFill>
                <a:srgbClr val="000000"/>
              </a:solidFill>
            </a:ln>
          </c:spPr>
          <c:marker>
            <c:symbol val="none"/>
          </c:marker>
          <c:xVal>
            <c:numRef>
              <c:f>'_MB Analysis'!$AB$325:$AC$325</c:f>
              <c:numCache>
                <c:formatCode>General</c:formatCode>
                <c:ptCount val="2"/>
                <c:pt idx="0">
                  <c:v>#N/A</c:v>
                </c:pt>
                <c:pt idx="1">
                  <c:v>#N/A</c:v>
                </c:pt>
              </c:numCache>
            </c:numRef>
          </c:xVal>
          <c:yVal>
            <c:numRef>
              <c:f>'_MB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9D9F-430C-8150-B7C6CDB9D760}"/>
            </c:ext>
          </c:extLst>
        </c:ser>
        <c:ser>
          <c:idx val="115"/>
          <c:order val="5"/>
          <c:tx>
            <c:strRef>
              <c:f>'_MB Analysis'!$AA$324</c:f>
              <c:strCache>
                <c:ptCount val="1"/>
              </c:strCache>
            </c:strRef>
          </c:tx>
          <c:spPr>
            <a:ln w="12700">
              <a:solidFill>
                <a:srgbClr val="000000"/>
              </a:solidFill>
            </a:ln>
          </c:spPr>
          <c:marker>
            <c:symbol val="none"/>
          </c:marker>
          <c:xVal>
            <c:numRef>
              <c:f>'_MB Analysis'!$AB$324:$AC$324</c:f>
              <c:numCache>
                <c:formatCode>General</c:formatCode>
                <c:ptCount val="2"/>
                <c:pt idx="0">
                  <c:v>#N/A</c:v>
                </c:pt>
                <c:pt idx="1">
                  <c:v>#N/A</c:v>
                </c:pt>
              </c:numCache>
            </c:numRef>
          </c:xVal>
          <c:yVal>
            <c:numRef>
              <c:f>'_MB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9D9F-430C-8150-B7C6CDB9D760}"/>
            </c:ext>
          </c:extLst>
        </c:ser>
        <c:ser>
          <c:idx val="114"/>
          <c:order val="6"/>
          <c:tx>
            <c:strRef>
              <c:f>'_MB Analysis'!$AA$323</c:f>
              <c:strCache>
                <c:ptCount val="1"/>
              </c:strCache>
            </c:strRef>
          </c:tx>
          <c:spPr>
            <a:ln w="12700">
              <a:solidFill>
                <a:srgbClr val="000000"/>
              </a:solidFill>
            </a:ln>
          </c:spPr>
          <c:marker>
            <c:symbol val="none"/>
          </c:marker>
          <c:xVal>
            <c:numRef>
              <c:f>'_MB Analysis'!$AB$323:$AC$323</c:f>
              <c:numCache>
                <c:formatCode>General</c:formatCode>
                <c:ptCount val="2"/>
                <c:pt idx="0">
                  <c:v>#N/A</c:v>
                </c:pt>
                <c:pt idx="1">
                  <c:v>#N/A</c:v>
                </c:pt>
              </c:numCache>
            </c:numRef>
          </c:xVal>
          <c:yVal>
            <c:numRef>
              <c:f>'_MB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9D9F-430C-8150-B7C6CDB9D760}"/>
            </c:ext>
          </c:extLst>
        </c:ser>
        <c:ser>
          <c:idx val="113"/>
          <c:order val="7"/>
          <c:tx>
            <c:strRef>
              <c:f>'_MB Analysis'!$AA$322</c:f>
              <c:strCache>
                <c:ptCount val="1"/>
              </c:strCache>
            </c:strRef>
          </c:tx>
          <c:spPr>
            <a:ln w="12700">
              <a:solidFill>
                <a:srgbClr val="000000"/>
              </a:solidFill>
            </a:ln>
          </c:spPr>
          <c:marker>
            <c:symbol val="none"/>
          </c:marker>
          <c:xVal>
            <c:numRef>
              <c:f>'_MB Analysis'!$AB$322:$AC$322</c:f>
              <c:numCache>
                <c:formatCode>General</c:formatCode>
                <c:ptCount val="2"/>
                <c:pt idx="0">
                  <c:v>#N/A</c:v>
                </c:pt>
                <c:pt idx="1">
                  <c:v>#N/A</c:v>
                </c:pt>
              </c:numCache>
            </c:numRef>
          </c:xVal>
          <c:yVal>
            <c:numRef>
              <c:f>'_MB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9D9F-430C-8150-B7C6CDB9D760}"/>
            </c:ext>
          </c:extLst>
        </c:ser>
        <c:ser>
          <c:idx val="112"/>
          <c:order val="8"/>
          <c:tx>
            <c:strRef>
              <c:f>'_MB Analysis'!$AA$321</c:f>
              <c:strCache>
                <c:ptCount val="1"/>
              </c:strCache>
            </c:strRef>
          </c:tx>
          <c:spPr>
            <a:ln w="12700">
              <a:solidFill>
                <a:srgbClr val="000000"/>
              </a:solidFill>
            </a:ln>
          </c:spPr>
          <c:marker>
            <c:symbol val="none"/>
          </c:marker>
          <c:xVal>
            <c:numRef>
              <c:f>'_MB Analysis'!$AB$321:$AC$321</c:f>
              <c:numCache>
                <c:formatCode>General</c:formatCode>
                <c:ptCount val="2"/>
                <c:pt idx="0">
                  <c:v>#N/A</c:v>
                </c:pt>
                <c:pt idx="1">
                  <c:v>#N/A</c:v>
                </c:pt>
              </c:numCache>
            </c:numRef>
          </c:xVal>
          <c:yVal>
            <c:numRef>
              <c:f>'_MB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9D9F-430C-8150-B7C6CDB9D760}"/>
            </c:ext>
          </c:extLst>
        </c:ser>
        <c:ser>
          <c:idx val="111"/>
          <c:order val="9"/>
          <c:tx>
            <c:strRef>
              <c:f>'_MB Analysis'!$AA$320</c:f>
              <c:strCache>
                <c:ptCount val="1"/>
              </c:strCache>
            </c:strRef>
          </c:tx>
          <c:spPr>
            <a:ln w="12700">
              <a:solidFill>
                <a:srgbClr val="000000"/>
              </a:solidFill>
            </a:ln>
          </c:spPr>
          <c:marker>
            <c:symbol val="none"/>
          </c:marker>
          <c:xVal>
            <c:numRef>
              <c:f>'_MB Analysis'!$AB$320:$AC$320</c:f>
              <c:numCache>
                <c:formatCode>General</c:formatCode>
                <c:ptCount val="2"/>
                <c:pt idx="0">
                  <c:v>#N/A</c:v>
                </c:pt>
                <c:pt idx="1">
                  <c:v>#N/A</c:v>
                </c:pt>
              </c:numCache>
            </c:numRef>
          </c:xVal>
          <c:yVal>
            <c:numRef>
              <c:f>'_MB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9D9F-430C-8150-B7C6CDB9D760}"/>
            </c:ext>
          </c:extLst>
        </c:ser>
        <c:ser>
          <c:idx val="110"/>
          <c:order val="10"/>
          <c:tx>
            <c:strRef>
              <c:f>'_MB Analysis'!$AA$319</c:f>
              <c:strCache>
                <c:ptCount val="1"/>
              </c:strCache>
            </c:strRef>
          </c:tx>
          <c:spPr>
            <a:ln w="12700">
              <a:solidFill>
                <a:srgbClr val="000000"/>
              </a:solidFill>
            </a:ln>
          </c:spPr>
          <c:marker>
            <c:symbol val="none"/>
          </c:marker>
          <c:xVal>
            <c:numRef>
              <c:f>'_MB Analysis'!$AB$319:$AC$319</c:f>
              <c:numCache>
                <c:formatCode>General</c:formatCode>
                <c:ptCount val="2"/>
                <c:pt idx="0">
                  <c:v>#N/A</c:v>
                </c:pt>
                <c:pt idx="1">
                  <c:v>#N/A</c:v>
                </c:pt>
              </c:numCache>
            </c:numRef>
          </c:xVal>
          <c:yVal>
            <c:numRef>
              <c:f>'_MB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9D9F-430C-8150-B7C6CDB9D760}"/>
            </c:ext>
          </c:extLst>
        </c:ser>
        <c:ser>
          <c:idx val="109"/>
          <c:order val="11"/>
          <c:tx>
            <c:strRef>
              <c:f>'_MB Analysis'!$AA$318</c:f>
              <c:strCache>
                <c:ptCount val="1"/>
              </c:strCache>
            </c:strRef>
          </c:tx>
          <c:spPr>
            <a:ln w="12700">
              <a:solidFill>
                <a:srgbClr val="000000"/>
              </a:solidFill>
            </a:ln>
          </c:spPr>
          <c:marker>
            <c:symbol val="none"/>
          </c:marker>
          <c:xVal>
            <c:numRef>
              <c:f>'_MB Analysis'!$AB$318:$AC$318</c:f>
              <c:numCache>
                <c:formatCode>General</c:formatCode>
                <c:ptCount val="2"/>
                <c:pt idx="0">
                  <c:v>#N/A</c:v>
                </c:pt>
                <c:pt idx="1">
                  <c:v>#N/A</c:v>
                </c:pt>
              </c:numCache>
            </c:numRef>
          </c:xVal>
          <c:yVal>
            <c:numRef>
              <c:f>'_MB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9D9F-430C-8150-B7C6CDB9D760}"/>
            </c:ext>
          </c:extLst>
        </c:ser>
        <c:ser>
          <c:idx val="108"/>
          <c:order val="12"/>
          <c:tx>
            <c:strRef>
              <c:f>'_MB Analysis'!$AA$317</c:f>
              <c:strCache>
                <c:ptCount val="1"/>
              </c:strCache>
            </c:strRef>
          </c:tx>
          <c:spPr>
            <a:ln w="12700">
              <a:solidFill>
                <a:srgbClr val="000000"/>
              </a:solidFill>
            </a:ln>
          </c:spPr>
          <c:marker>
            <c:symbol val="none"/>
          </c:marker>
          <c:xVal>
            <c:numRef>
              <c:f>'_MB Analysis'!$AB$317:$AC$317</c:f>
              <c:numCache>
                <c:formatCode>General</c:formatCode>
                <c:ptCount val="2"/>
                <c:pt idx="0">
                  <c:v>#N/A</c:v>
                </c:pt>
                <c:pt idx="1">
                  <c:v>#N/A</c:v>
                </c:pt>
              </c:numCache>
            </c:numRef>
          </c:xVal>
          <c:yVal>
            <c:numRef>
              <c:f>'_MB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9D9F-430C-8150-B7C6CDB9D760}"/>
            </c:ext>
          </c:extLst>
        </c:ser>
        <c:ser>
          <c:idx val="107"/>
          <c:order val="13"/>
          <c:tx>
            <c:strRef>
              <c:f>'_MB Analysis'!$AA$316</c:f>
              <c:strCache>
                <c:ptCount val="1"/>
              </c:strCache>
            </c:strRef>
          </c:tx>
          <c:spPr>
            <a:ln w="12700">
              <a:solidFill>
                <a:srgbClr val="000000"/>
              </a:solidFill>
            </a:ln>
          </c:spPr>
          <c:marker>
            <c:symbol val="none"/>
          </c:marker>
          <c:xVal>
            <c:numRef>
              <c:f>'_MB Analysis'!$AB$316:$AC$316</c:f>
              <c:numCache>
                <c:formatCode>General</c:formatCode>
                <c:ptCount val="2"/>
                <c:pt idx="0">
                  <c:v>#N/A</c:v>
                </c:pt>
                <c:pt idx="1">
                  <c:v>#N/A</c:v>
                </c:pt>
              </c:numCache>
            </c:numRef>
          </c:xVal>
          <c:yVal>
            <c:numRef>
              <c:f>'_MB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9D9F-430C-8150-B7C6CDB9D760}"/>
            </c:ext>
          </c:extLst>
        </c:ser>
        <c:ser>
          <c:idx val="106"/>
          <c:order val="14"/>
          <c:tx>
            <c:strRef>
              <c:f>'_MB Analysis'!$AA$315</c:f>
              <c:strCache>
                <c:ptCount val="1"/>
              </c:strCache>
            </c:strRef>
          </c:tx>
          <c:spPr>
            <a:ln w="12700">
              <a:solidFill>
                <a:srgbClr val="000000"/>
              </a:solidFill>
            </a:ln>
          </c:spPr>
          <c:marker>
            <c:symbol val="none"/>
          </c:marker>
          <c:xVal>
            <c:numRef>
              <c:f>'_MB Analysis'!$AB$315:$AC$315</c:f>
              <c:numCache>
                <c:formatCode>General</c:formatCode>
                <c:ptCount val="2"/>
                <c:pt idx="0">
                  <c:v>#N/A</c:v>
                </c:pt>
                <c:pt idx="1">
                  <c:v>#N/A</c:v>
                </c:pt>
              </c:numCache>
            </c:numRef>
          </c:xVal>
          <c:yVal>
            <c:numRef>
              <c:f>'_MB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9D9F-430C-8150-B7C6CDB9D760}"/>
            </c:ext>
          </c:extLst>
        </c:ser>
        <c:ser>
          <c:idx val="105"/>
          <c:order val="15"/>
          <c:tx>
            <c:strRef>
              <c:f>'_MB Analysis'!$AA$314</c:f>
              <c:strCache>
                <c:ptCount val="1"/>
              </c:strCache>
            </c:strRef>
          </c:tx>
          <c:spPr>
            <a:ln w="12700">
              <a:solidFill>
                <a:srgbClr val="000000"/>
              </a:solidFill>
            </a:ln>
          </c:spPr>
          <c:marker>
            <c:symbol val="none"/>
          </c:marker>
          <c:xVal>
            <c:numRef>
              <c:f>'_MB Analysis'!$AB$314:$AC$314</c:f>
              <c:numCache>
                <c:formatCode>General</c:formatCode>
                <c:ptCount val="2"/>
                <c:pt idx="0">
                  <c:v>#N/A</c:v>
                </c:pt>
                <c:pt idx="1">
                  <c:v>#N/A</c:v>
                </c:pt>
              </c:numCache>
            </c:numRef>
          </c:xVal>
          <c:yVal>
            <c:numRef>
              <c:f>'_MB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9D9F-430C-8150-B7C6CDB9D760}"/>
            </c:ext>
          </c:extLst>
        </c:ser>
        <c:ser>
          <c:idx val="104"/>
          <c:order val="16"/>
          <c:tx>
            <c:strRef>
              <c:f>'_MB Analysis'!$AA$313</c:f>
              <c:strCache>
                <c:ptCount val="1"/>
              </c:strCache>
            </c:strRef>
          </c:tx>
          <c:spPr>
            <a:ln w="12700">
              <a:solidFill>
                <a:srgbClr val="000000"/>
              </a:solidFill>
            </a:ln>
          </c:spPr>
          <c:marker>
            <c:symbol val="none"/>
          </c:marker>
          <c:xVal>
            <c:numRef>
              <c:f>'_MB Analysis'!$AB$313:$AC$313</c:f>
              <c:numCache>
                <c:formatCode>General</c:formatCode>
                <c:ptCount val="2"/>
                <c:pt idx="0">
                  <c:v>#N/A</c:v>
                </c:pt>
                <c:pt idx="1">
                  <c:v>#N/A</c:v>
                </c:pt>
              </c:numCache>
            </c:numRef>
          </c:xVal>
          <c:yVal>
            <c:numRef>
              <c:f>'_MB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9D9F-430C-8150-B7C6CDB9D760}"/>
            </c:ext>
          </c:extLst>
        </c:ser>
        <c:ser>
          <c:idx val="103"/>
          <c:order val="17"/>
          <c:tx>
            <c:strRef>
              <c:f>'_MB Analysis'!$AA$312</c:f>
              <c:strCache>
                <c:ptCount val="1"/>
              </c:strCache>
            </c:strRef>
          </c:tx>
          <c:spPr>
            <a:ln w="12700">
              <a:solidFill>
                <a:srgbClr val="000000"/>
              </a:solidFill>
            </a:ln>
          </c:spPr>
          <c:marker>
            <c:symbol val="none"/>
          </c:marker>
          <c:xVal>
            <c:numRef>
              <c:f>'_MB Analysis'!$AB$312:$AC$312</c:f>
              <c:numCache>
                <c:formatCode>General</c:formatCode>
                <c:ptCount val="2"/>
                <c:pt idx="0">
                  <c:v>#N/A</c:v>
                </c:pt>
                <c:pt idx="1">
                  <c:v>#N/A</c:v>
                </c:pt>
              </c:numCache>
            </c:numRef>
          </c:xVal>
          <c:yVal>
            <c:numRef>
              <c:f>'_MB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9D9F-430C-8150-B7C6CDB9D760}"/>
            </c:ext>
          </c:extLst>
        </c:ser>
        <c:ser>
          <c:idx val="102"/>
          <c:order val="18"/>
          <c:tx>
            <c:strRef>
              <c:f>'_MB Analysis'!$AA$311</c:f>
              <c:strCache>
                <c:ptCount val="1"/>
              </c:strCache>
            </c:strRef>
          </c:tx>
          <c:spPr>
            <a:ln w="12700">
              <a:solidFill>
                <a:srgbClr val="000000"/>
              </a:solidFill>
            </a:ln>
          </c:spPr>
          <c:marker>
            <c:symbol val="none"/>
          </c:marker>
          <c:xVal>
            <c:numRef>
              <c:f>'_MB Analysis'!$AB$311:$AC$311</c:f>
              <c:numCache>
                <c:formatCode>General</c:formatCode>
                <c:ptCount val="2"/>
                <c:pt idx="0">
                  <c:v>#N/A</c:v>
                </c:pt>
                <c:pt idx="1">
                  <c:v>#N/A</c:v>
                </c:pt>
              </c:numCache>
            </c:numRef>
          </c:xVal>
          <c:yVal>
            <c:numRef>
              <c:f>'_MB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9D9F-430C-8150-B7C6CDB9D760}"/>
            </c:ext>
          </c:extLst>
        </c:ser>
        <c:ser>
          <c:idx val="101"/>
          <c:order val="19"/>
          <c:tx>
            <c:strRef>
              <c:f>'_MB Analysis'!$AA$310</c:f>
              <c:strCache>
                <c:ptCount val="1"/>
              </c:strCache>
            </c:strRef>
          </c:tx>
          <c:spPr>
            <a:ln w="12700">
              <a:solidFill>
                <a:srgbClr val="000000"/>
              </a:solidFill>
            </a:ln>
          </c:spPr>
          <c:marker>
            <c:symbol val="none"/>
          </c:marker>
          <c:xVal>
            <c:numRef>
              <c:f>'_MB Analysis'!$AB$310:$AC$310</c:f>
              <c:numCache>
                <c:formatCode>General</c:formatCode>
                <c:ptCount val="2"/>
                <c:pt idx="0">
                  <c:v>#N/A</c:v>
                </c:pt>
                <c:pt idx="1">
                  <c:v>#N/A</c:v>
                </c:pt>
              </c:numCache>
            </c:numRef>
          </c:xVal>
          <c:yVal>
            <c:numRef>
              <c:f>'_MB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9D9F-430C-8150-B7C6CDB9D760}"/>
            </c:ext>
          </c:extLst>
        </c:ser>
        <c:ser>
          <c:idx val="100"/>
          <c:order val="20"/>
          <c:tx>
            <c:strRef>
              <c:f>'_MB Analysis'!$AA$309</c:f>
              <c:strCache>
                <c:ptCount val="1"/>
              </c:strCache>
            </c:strRef>
          </c:tx>
          <c:spPr>
            <a:ln w="12700">
              <a:solidFill>
                <a:srgbClr val="000000"/>
              </a:solidFill>
            </a:ln>
          </c:spPr>
          <c:marker>
            <c:symbol val="none"/>
          </c:marker>
          <c:xVal>
            <c:numRef>
              <c:f>'_MB Analysis'!$AB$309:$AC$309</c:f>
              <c:numCache>
                <c:formatCode>General</c:formatCode>
                <c:ptCount val="2"/>
                <c:pt idx="0">
                  <c:v>#N/A</c:v>
                </c:pt>
                <c:pt idx="1">
                  <c:v>#N/A</c:v>
                </c:pt>
              </c:numCache>
            </c:numRef>
          </c:xVal>
          <c:yVal>
            <c:numRef>
              <c:f>'_MB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9D9F-430C-8150-B7C6CDB9D760}"/>
            </c:ext>
          </c:extLst>
        </c:ser>
        <c:ser>
          <c:idx val="99"/>
          <c:order val="21"/>
          <c:tx>
            <c:strRef>
              <c:f>'_MB Analysis'!$AA$308</c:f>
              <c:strCache>
                <c:ptCount val="1"/>
              </c:strCache>
            </c:strRef>
          </c:tx>
          <c:spPr>
            <a:ln w="12700">
              <a:solidFill>
                <a:srgbClr val="000000"/>
              </a:solidFill>
            </a:ln>
          </c:spPr>
          <c:marker>
            <c:symbol val="none"/>
          </c:marker>
          <c:xVal>
            <c:numRef>
              <c:f>'_MB Analysis'!$AB$308:$AC$308</c:f>
              <c:numCache>
                <c:formatCode>General</c:formatCode>
                <c:ptCount val="2"/>
                <c:pt idx="0">
                  <c:v>#N/A</c:v>
                </c:pt>
                <c:pt idx="1">
                  <c:v>#N/A</c:v>
                </c:pt>
              </c:numCache>
            </c:numRef>
          </c:xVal>
          <c:yVal>
            <c:numRef>
              <c:f>'_MB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9D9F-430C-8150-B7C6CDB9D760}"/>
            </c:ext>
          </c:extLst>
        </c:ser>
        <c:ser>
          <c:idx val="98"/>
          <c:order val="22"/>
          <c:tx>
            <c:strRef>
              <c:f>'_MB Analysis'!$AA$307</c:f>
              <c:strCache>
                <c:ptCount val="1"/>
              </c:strCache>
            </c:strRef>
          </c:tx>
          <c:spPr>
            <a:ln w="12700">
              <a:solidFill>
                <a:srgbClr val="000000"/>
              </a:solidFill>
            </a:ln>
          </c:spPr>
          <c:marker>
            <c:symbol val="none"/>
          </c:marker>
          <c:xVal>
            <c:numRef>
              <c:f>'_MB Analysis'!$AB$307:$AC$307</c:f>
              <c:numCache>
                <c:formatCode>General</c:formatCode>
                <c:ptCount val="2"/>
                <c:pt idx="0">
                  <c:v>#N/A</c:v>
                </c:pt>
                <c:pt idx="1">
                  <c:v>#N/A</c:v>
                </c:pt>
              </c:numCache>
            </c:numRef>
          </c:xVal>
          <c:yVal>
            <c:numRef>
              <c:f>'_MB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9D9F-430C-8150-B7C6CDB9D760}"/>
            </c:ext>
          </c:extLst>
        </c:ser>
        <c:ser>
          <c:idx val="97"/>
          <c:order val="23"/>
          <c:tx>
            <c:strRef>
              <c:f>'_MB Analysis'!$AA$306</c:f>
              <c:strCache>
                <c:ptCount val="1"/>
              </c:strCache>
            </c:strRef>
          </c:tx>
          <c:spPr>
            <a:ln w="12700">
              <a:solidFill>
                <a:srgbClr val="000000"/>
              </a:solidFill>
            </a:ln>
          </c:spPr>
          <c:marker>
            <c:symbol val="none"/>
          </c:marker>
          <c:xVal>
            <c:numRef>
              <c:f>'_MB Analysis'!$AB$306:$AC$306</c:f>
              <c:numCache>
                <c:formatCode>General</c:formatCode>
                <c:ptCount val="2"/>
                <c:pt idx="0">
                  <c:v>#N/A</c:v>
                </c:pt>
                <c:pt idx="1">
                  <c:v>#N/A</c:v>
                </c:pt>
              </c:numCache>
            </c:numRef>
          </c:xVal>
          <c:yVal>
            <c:numRef>
              <c:f>'_MB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9D9F-430C-8150-B7C6CDB9D760}"/>
            </c:ext>
          </c:extLst>
        </c:ser>
        <c:ser>
          <c:idx val="96"/>
          <c:order val="24"/>
          <c:tx>
            <c:strRef>
              <c:f>'_MB Analysis'!$AA$305</c:f>
              <c:strCache>
                <c:ptCount val="1"/>
              </c:strCache>
            </c:strRef>
          </c:tx>
          <c:spPr>
            <a:ln w="12700">
              <a:solidFill>
                <a:srgbClr val="000000"/>
              </a:solidFill>
            </a:ln>
          </c:spPr>
          <c:marker>
            <c:symbol val="none"/>
          </c:marker>
          <c:xVal>
            <c:numRef>
              <c:f>'_MB Analysis'!$AB$305:$AC$305</c:f>
              <c:numCache>
                <c:formatCode>General</c:formatCode>
                <c:ptCount val="2"/>
                <c:pt idx="0">
                  <c:v>#N/A</c:v>
                </c:pt>
                <c:pt idx="1">
                  <c:v>#N/A</c:v>
                </c:pt>
              </c:numCache>
            </c:numRef>
          </c:xVal>
          <c:yVal>
            <c:numRef>
              <c:f>'_MB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9D9F-430C-8150-B7C6CDB9D760}"/>
            </c:ext>
          </c:extLst>
        </c:ser>
        <c:ser>
          <c:idx val="95"/>
          <c:order val="25"/>
          <c:tx>
            <c:strRef>
              <c:f>'_MB Analysis'!$AA$304</c:f>
              <c:strCache>
                <c:ptCount val="1"/>
              </c:strCache>
            </c:strRef>
          </c:tx>
          <c:spPr>
            <a:ln w="12700">
              <a:solidFill>
                <a:srgbClr val="000000"/>
              </a:solidFill>
            </a:ln>
          </c:spPr>
          <c:marker>
            <c:symbol val="none"/>
          </c:marker>
          <c:xVal>
            <c:numRef>
              <c:f>'_MB Analysis'!$AB$304:$AC$304</c:f>
              <c:numCache>
                <c:formatCode>General</c:formatCode>
                <c:ptCount val="2"/>
                <c:pt idx="0">
                  <c:v>#N/A</c:v>
                </c:pt>
                <c:pt idx="1">
                  <c:v>#N/A</c:v>
                </c:pt>
              </c:numCache>
            </c:numRef>
          </c:xVal>
          <c:yVal>
            <c:numRef>
              <c:f>'_MB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9D9F-430C-8150-B7C6CDB9D760}"/>
            </c:ext>
          </c:extLst>
        </c:ser>
        <c:ser>
          <c:idx val="94"/>
          <c:order val="26"/>
          <c:tx>
            <c:strRef>
              <c:f>'_MB Analysis'!$AA$303</c:f>
              <c:strCache>
                <c:ptCount val="1"/>
              </c:strCache>
            </c:strRef>
          </c:tx>
          <c:spPr>
            <a:ln w="12700">
              <a:solidFill>
                <a:srgbClr val="000000"/>
              </a:solidFill>
            </a:ln>
          </c:spPr>
          <c:marker>
            <c:symbol val="none"/>
          </c:marker>
          <c:xVal>
            <c:numRef>
              <c:f>'_MB Analysis'!$AB$303:$AC$303</c:f>
              <c:numCache>
                <c:formatCode>General</c:formatCode>
                <c:ptCount val="2"/>
                <c:pt idx="0">
                  <c:v>#N/A</c:v>
                </c:pt>
                <c:pt idx="1">
                  <c:v>#N/A</c:v>
                </c:pt>
              </c:numCache>
            </c:numRef>
          </c:xVal>
          <c:yVal>
            <c:numRef>
              <c:f>'_MB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9D9F-430C-8150-B7C6CDB9D760}"/>
            </c:ext>
          </c:extLst>
        </c:ser>
        <c:ser>
          <c:idx val="93"/>
          <c:order val="27"/>
          <c:tx>
            <c:strRef>
              <c:f>'_MB Analysis'!$AA$302</c:f>
              <c:strCache>
                <c:ptCount val="1"/>
              </c:strCache>
            </c:strRef>
          </c:tx>
          <c:spPr>
            <a:ln w="12700">
              <a:solidFill>
                <a:srgbClr val="000000"/>
              </a:solidFill>
            </a:ln>
          </c:spPr>
          <c:marker>
            <c:symbol val="none"/>
          </c:marker>
          <c:xVal>
            <c:numRef>
              <c:f>'_MB Analysis'!$AB$302:$AC$302</c:f>
              <c:numCache>
                <c:formatCode>General</c:formatCode>
                <c:ptCount val="2"/>
                <c:pt idx="0">
                  <c:v>#N/A</c:v>
                </c:pt>
                <c:pt idx="1">
                  <c:v>#N/A</c:v>
                </c:pt>
              </c:numCache>
            </c:numRef>
          </c:xVal>
          <c:yVal>
            <c:numRef>
              <c:f>'_MB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9D9F-430C-8150-B7C6CDB9D760}"/>
            </c:ext>
          </c:extLst>
        </c:ser>
        <c:ser>
          <c:idx val="92"/>
          <c:order val="28"/>
          <c:tx>
            <c:strRef>
              <c:f>'_MB Analysis'!$AA$301</c:f>
              <c:strCache>
                <c:ptCount val="1"/>
              </c:strCache>
            </c:strRef>
          </c:tx>
          <c:spPr>
            <a:ln w="12700">
              <a:solidFill>
                <a:srgbClr val="000000"/>
              </a:solidFill>
            </a:ln>
          </c:spPr>
          <c:marker>
            <c:symbol val="none"/>
          </c:marker>
          <c:xVal>
            <c:numRef>
              <c:f>'_MB Analysis'!$AB$301:$AC$301</c:f>
              <c:numCache>
                <c:formatCode>General</c:formatCode>
                <c:ptCount val="2"/>
                <c:pt idx="0">
                  <c:v>#N/A</c:v>
                </c:pt>
                <c:pt idx="1">
                  <c:v>#N/A</c:v>
                </c:pt>
              </c:numCache>
            </c:numRef>
          </c:xVal>
          <c:yVal>
            <c:numRef>
              <c:f>'_MB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9D9F-430C-8150-B7C6CDB9D760}"/>
            </c:ext>
          </c:extLst>
        </c:ser>
        <c:ser>
          <c:idx val="91"/>
          <c:order val="29"/>
          <c:tx>
            <c:strRef>
              <c:f>'_MB Analysis'!$AA$300</c:f>
              <c:strCache>
                <c:ptCount val="1"/>
              </c:strCache>
            </c:strRef>
          </c:tx>
          <c:spPr>
            <a:ln w="12700">
              <a:solidFill>
                <a:srgbClr val="000000"/>
              </a:solidFill>
            </a:ln>
          </c:spPr>
          <c:marker>
            <c:symbol val="none"/>
          </c:marker>
          <c:xVal>
            <c:numRef>
              <c:f>'_MB Analysis'!$AB$300:$AC$300</c:f>
              <c:numCache>
                <c:formatCode>General</c:formatCode>
                <c:ptCount val="2"/>
                <c:pt idx="0">
                  <c:v>#N/A</c:v>
                </c:pt>
                <c:pt idx="1">
                  <c:v>#N/A</c:v>
                </c:pt>
              </c:numCache>
            </c:numRef>
          </c:xVal>
          <c:yVal>
            <c:numRef>
              <c:f>'_MB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9D9F-430C-8150-B7C6CDB9D760}"/>
            </c:ext>
          </c:extLst>
        </c:ser>
        <c:ser>
          <c:idx val="90"/>
          <c:order val="30"/>
          <c:tx>
            <c:strRef>
              <c:f>'_MB Analysis'!$AA$299</c:f>
              <c:strCache>
                <c:ptCount val="1"/>
              </c:strCache>
            </c:strRef>
          </c:tx>
          <c:spPr>
            <a:ln w="12700">
              <a:solidFill>
                <a:srgbClr val="000000"/>
              </a:solidFill>
            </a:ln>
          </c:spPr>
          <c:marker>
            <c:symbol val="none"/>
          </c:marker>
          <c:xVal>
            <c:numRef>
              <c:f>'_MB Analysis'!$AB$299:$AC$299</c:f>
              <c:numCache>
                <c:formatCode>General</c:formatCode>
                <c:ptCount val="2"/>
                <c:pt idx="0">
                  <c:v>#N/A</c:v>
                </c:pt>
                <c:pt idx="1">
                  <c:v>#N/A</c:v>
                </c:pt>
              </c:numCache>
            </c:numRef>
          </c:xVal>
          <c:yVal>
            <c:numRef>
              <c:f>'_MB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9D9F-430C-8150-B7C6CDB9D760}"/>
            </c:ext>
          </c:extLst>
        </c:ser>
        <c:ser>
          <c:idx val="89"/>
          <c:order val="31"/>
          <c:tx>
            <c:strRef>
              <c:f>'_MB Analysis'!$AA$298</c:f>
              <c:strCache>
                <c:ptCount val="1"/>
              </c:strCache>
            </c:strRef>
          </c:tx>
          <c:spPr>
            <a:ln w="12700">
              <a:solidFill>
                <a:srgbClr val="000000"/>
              </a:solidFill>
            </a:ln>
          </c:spPr>
          <c:marker>
            <c:symbol val="none"/>
          </c:marker>
          <c:xVal>
            <c:numRef>
              <c:f>'_MB Analysis'!$AB$298:$AC$298</c:f>
              <c:numCache>
                <c:formatCode>General</c:formatCode>
                <c:ptCount val="2"/>
                <c:pt idx="0">
                  <c:v>#N/A</c:v>
                </c:pt>
                <c:pt idx="1">
                  <c:v>#N/A</c:v>
                </c:pt>
              </c:numCache>
            </c:numRef>
          </c:xVal>
          <c:yVal>
            <c:numRef>
              <c:f>'_MB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9D9F-430C-8150-B7C6CDB9D760}"/>
            </c:ext>
          </c:extLst>
        </c:ser>
        <c:ser>
          <c:idx val="88"/>
          <c:order val="32"/>
          <c:tx>
            <c:strRef>
              <c:f>'_MB Analysis'!$AA$297</c:f>
              <c:strCache>
                <c:ptCount val="1"/>
              </c:strCache>
            </c:strRef>
          </c:tx>
          <c:spPr>
            <a:ln w="12700">
              <a:solidFill>
                <a:srgbClr val="000000"/>
              </a:solidFill>
            </a:ln>
          </c:spPr>
          <c:marker>
            <c:symbol val="none"/>
          </c:marker>
          <c:xVal>
            <c:numRef>
              <c:f>'_MB Analysis'!$AB$297:$AC$297</c:f>
              <c:numCache>
                <c:formatCode>General</c:formatCode>
                <c:ptCount val="2"/>
                <c:pt idx="0">
                  <c:v>#N/A</c:v>
                </c:pt>
                <c:pt idx="1">
                  <c:v>#N/A</c:v>
                </c:pt>
              </c:numCache>
            </c:numRef>
          </c:xVal>
          <c:yVal>
            <c:numRef>
              <c:f>'_MB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9D9F-430C-8150-B7C6CDB9D760}"/>
            </c:ext>
          </c:extLst>
        </c:ser>
        <c:ser>
          <c:idx val="87"/>
          <c:order val="33"/>
          <c:tx>
            <c:strRef>
              <c:f>'_MB Analysis'!$AA$296</c:f>
              <c:strCache>
                <c:ptCount val="1"/>
              </c:strCache>
            </c:strRef>
          </c:tx>
          <c:spPr>
            <a:ln w="12700">
              <a:solidFill>
                <a:srgbClr val="000000"/>
              </a:solidFill>
            </a:ln>
          </c:spPr>
          <c:marker>
            <c:symbol val="none"/>
          </c:marker>
          <c:xVal>
            <c:numRef>
              <c:f>'_MB Analysis'!$AB$296:$AC$296</c:f>
              <c:numCache>
                <c:formatCode>General</c:formatCode>
                <c:ptCount val="2"/>
                <c:pt idx="0">
                  <c:v>#N/A</c:v>
                </c:pt>
                <c:pt idx="1">
                  <c:v>#N/A</c:v>
                </c:pt>
              </c:numCache>
            </c:numRef>
          </c:xVal>
          <c:yVal>
            <c:numRef>
              <c:f>'_MB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9D9F-430C-8150-B7C6CDB9D760}"/>
            </c:ext>
          </c:extLst>
        </c:ser>
        <c:ser>
          <c:idx val="86"/>
          <c:order val="34"/>
          <c:tx>
            <c:strRef>
              <c:f>'_MB Analysis'!$AA$295</c:f>
              <c:strCache>
                <c:ptCount val="1"/>
              </c:strCache>
            </c:strRef>
          </c:tx>
          <c:spPr>
            <a:ln w="12700">
              <a:solidFill>
                <a:srgbClr val="000000"/>
              </a:solidFill>
            </a:ln>
          </c:spPr>
          <c:marker>
            <c:symbol val="none"/>
          </c:marker>
          <c:xVal>
            <c:numRef>
              <c:f>'_MB Analysis'!$AB$295:$AC$295</c:f>
              <c:numCache>
                <c:formatCode>General</c:formatCode>
                <c:ptCount val="2"/>
                <c:pt idx="0">
                  <c:v>#N/A</c:v>
                </c:pt>
                <c:pt idx="1">
                  <c:v>#N/A</c:v>
                </c:pt>
              </c:numCache>
            </c:numRef>
          </c:xVal>
          <c:yVal>
            <c:numRef>
              <c:f>'_MB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9D9F-430C-8150-B7C6CDB9D760}"/>
            </c:ext>
          </c:extLst>
        </c:ser>
        <c:ser>
          <c:idx val="85"/>
          <c:order val="35"/>
          <c:tx>
            <c:strRef>
              <c:f>'_MB Analysis'!$AA$294</c:f>
              <c:strCache>
                <c:ptCount val="1"/>
              </c:strCache>
            </c:strRef>
          </c:tx>
          <c:spPr>
            <a:ln w="12700">
              <a:solidFill>
                <a:srgbClr val="000000"/>
              </a:solidFill>
            </a:ln>
          </c:spPr>
          <c:marker>
            <c:symbol val="none"/>
          </c:marker>
          <c:xVal>
            <c:numRef>
              <c:f>'_MB Analysis'!$AB$294:$AC$294</c:f>
              <c:numCache>
                <c:formatCode>General</c:formatCode>
                <c:ptCount val="2"/>
                <c:pt idx="0">
                  <c:v>#N/A</c:v>
                </c:pt>
                <c:pt idx="1">
                  <c:v>#N/A</c:v>
                </c:pt>
              </c:numCache>
            </c:numRef>
          </c:xVal>
          <c:yVal>
            <c:numRef>
              <c:f>'_MB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9D9F-430C-8150-B7C6CDB9D760}"/>
            </c:ext>
          </c:extLst>
        </c:ser>
        <c:ser>
          <c:idx val="84"/>
          <c:order val="36"/>
          <c:tx>
            <c:strRef>
              <c:f>'_MB Analysis'!$AA$293</c:f>
              <c:strCache>
                <c:ptCount val="1"/>
              </c:strCache>
            </c:strRef>
          </c:tx>
          <c:spPr>
            <a:ln w="12700">
              <a:solidFill>
                <a:srgbClr val="000000"/>
              </a:solidFill>
            </a:ln>
          </c:spPr>
          <c:marker>
            <c:symbol val="none"/>
          </c:marker>
          <c:xVal>
            <c:numRef>
              <c:f>'_MB Analysis'!$AB$293:$AC$293</c:f>
              <c:numCache>
                <c:formatCode>General</c:formatCode>
                <c:ptCount val="2"/>
                <c:pt idx="0">
                  <c:v>#N/A</c:v>
                </c:pt>
                <c:pt idx="1">
                  <c:v>#N/A</c:v>
                </c:pt>
              </c:numCache>
            </c:numRef>
          </c:xVal>
          <c:yVal>
            <c:numRef>
              <c:f>'_MB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9D9F-430C-8150-B7C6CDB9D760}"/>
            </c:ext>
          </c:extLst>
        </c:ser>
        <c:ser>
          <c:idx val="83"/>
          <c:order val="37"/>
          <c:tx>
            <c:strRef>
              <c:f>'_MB Analysis'!$AA$292</c:f>
              <c:strCache>
                <c:ptCount val="1"/>
              </c:strCache>
            </c:strRef>
          </c:tx>
          <c:spPr>
            <a:ln w="12700">
              <a:solidFill>
                <a:srgbClr val="000000"/>
              </a:solidFill>
            </a:ln>
          </c:spPr>
          <c:marker>
            <c:symbol val="none"/>
          </c:marker>
          <c:xVal>
            <c:numRef>
              <c:f>'_MB Analysis'!$AB$292:$AC$292</c:f>
              <c:numCache>
                <c:formatCode>General</c:formatCode>
                <c:ptCount val="2"/>
                <c:pt idx="0">
                  <c:v>#N/A</c:v>
                </c:pt>
                <c:pt idx="1">
                  <c:v>#N/A</c:v>
                </c:pt>
              </c:numCache>
            </c:numRef>
          </c:xVal>
          <c:yVal>
            <c:numRef>
              <c:f>'_MB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9D9F-430C-8150-B7C6CDB9D760}"/>
            </c:ext>
          </c:extLst>
        </c:ser>
        <c:ser>
          <c:idx val="82"/>
          <c:order val="38"/>
          <c:tx>
            <c:strRef>
              <c:f>'_MB Analysis'!$AA$291</c:f>
              <c:strCache>
                <c:ptCount val="1"/>
              </c:strCache>
            </c:strRef>
          </c:tx>
          <c:spPr>
            <a:ln w="12700">
              <a:solidFill>
                <a:srgbClr val="000000"/>
              </a:solidFill>
            </a:ln>
          </c:spPr>
          <c:marker>
            <c:symbol val="none"/>
          </c:marker>
          <c:xVal>
            <c:numRef>
              <c:f>'_MB Analysis'!$AB$291:$AC$291</c:f>
              <c:numCache>
                <c:formatCode>General</c:formatCode>
                <c:ptCount val="2"/>
                <c:pt idx="0">
                  <c:v>#N/A</c:v>
                </c:pt>
                <c:pt idx="1">
                  <c:v>#N/A</c:v>
                </c:pt>
              </c:numCache>
            </c:numRef>
          </c:xVal>
          <c:yVal>
            <c:numRef>
              <c:f>'_MB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9D9F-430C-8150-B7C6CDB9D760}"/>
            </c:ext>
          </c:extLst>
        </c:ser>
        <c:ser>
          <c:idx val="81"/>
          <c:order val="39"/>
          <c:tx>
            <c:strRef>
              <c:f>'_MB Analysis'!$AA$290</c:f>
              <c:strCache>
                <c:ptCount val="1"/>
              </c:strCache>
            </c:strRef>
          </c:tx>
          <c:spPr>
            <a:ln w="12700">
              <a:solidFill>
                <a:srgbClr val="000000"/>
              </a:solidFill>
            </a:ln>
          </c:spPr>
          <c:marker>
            <c:symbol val="none"/>
          </c:marker>
          <c:xVal>
            <c:numRef>
              <c:f>'_MB Analysis'!$AB$290:$AC$290</c:f>
              <c:numCache>
                <c:formatCode>General</c:formatCode>
                <c:ptCount val="2"/>
                <c:pt idx="0">
                  <c:v>#N/A</c:v>
                </c:pt>
                <c:pt idx="1">
                  <c:v>#N/A</c:v>
                </c:pt>
              </c:numCache>
            </c:numRef>
          </c:xVal>
          <c:yVal>
            <c:numRef>
              <c:f>'_MB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9D9F-430C-8150-B7C6CDB9D760}"/>
            </c:ext>
          </c:extLst>
        </c:ser>
        <c:ser>
          <c:idx val="80"/>
          <c:order val="40"/>
          <c:tx>
            <c:strRef>
              <c:f>'_MB Analysis'!$AA$289</c:f>
              <c:strCache>
                <c:ptCount val="1"/>
              </c:strCache>
            </c:strRef>
          </c:tx>
          <c:spPr>
            <a:ln w="12700">
              <a:solidFill>
                <a:srgbClr val="000000"/>
              </a:solidFill>
            </a:ln>
          </c:spPr>
          <c:marker>
            <c:symbol val="none"/>
          </c:marker>
          <c:xVal>
            <c:numRef>
              <c:f>'_MB Analysis'!$AB$289:$AC$289</c:f>
              <c:numCache>
                <c:formatCode>General</c:formatCode>
                <c:ptCount val="2"/>
                <c:pt idx="0">
                  <c:v>#N/A</c:v>
                </c:pt>
                <c:pt idx="1">
                  <c:v>#N/A</c:v>
                </c:pt>
              </c:numCache>
            </c:numRef>
          </c:xVal>
          <c:yVal>
            <c:numRef>
              <c:f>'_MB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9D9F-430C-8150-B7C6CDB9D760}"/>
            </c:ext>
          </c:extLst>
        </c:ser>
        <c:ser>
          <c:idx val="79"/>
          <c:order val="41"/>
          <c:tx>
            <c:strRef>
              <c:f>'_MB Analysis'!$AA$288</c:f>
              <c:strCache>
                <c:ptCount val="1"/>
              </c:strCache>
            </c:strRef>
          </c:tx>
          <c:spPr>
            <a:ln w="12700">
              <a:solidFill>
                <a:srgbClr val="000000"/>
              </a:solidFill>
            </a:ln>
          </c:spPr>
          <c:marker>
            <c:symbol val="none"/>
          </c:marker>
          <c:xVal>
            <c:numRef>
              <c:f>'_MB Analysis'!$AB$288:$AC$288</c:f>
              <c:numCache>
                <c:formatCode>General</c:formatCode>
                <c:ptCount val="2"/>
                <c:pt idx="0">
                  <c:v>#N/A</c:v>
                </c:pt>
                <c:pt idx="1">
                  <c:v>#N/A</c:v>
                </c:pt>
              </c:numCache>
            </c:numRef>
          </c:xVal>
          <c:yVal>
            <c:numRef>
              <c:f>'_MB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9D9F-430C-8150-B7C6CDB9D760}"/>
            </c:ext>
          </c:extLst>
        </c:ser>
        <c:ser>
          <c:idx val="78"/>
          <c:order val="42"/>
          <c:tx>
            <c:strRef>
              <c:f>'_MB Analysis'!$AA$287</c:f>
              <c:strCache>
                <c:ptCount val="1"/>
              </c:strCache>
            </c:strRef>
          </c:tx>
          <c:spPr>
            <a:ln w="12700">
              <a:solidFill>
                <a:srgbClr val="000000"/>
              </a:solidFill>
            </a:ln>
          </c:spPr>
          <c:marker>
            <c:symbol val="none"/>
          </c:marker>
          <c:xVal>
            <c:numRef>
              <c:f>'_MB Analysis'!$AB$287:$AC$287</c:f>
              <c:numCache>
                <c:formatCode>General</c:formatCode>
                <c:ptCount val="2"/>
                <c:pt idx="0">
                  <c:v>#N/A</c:v>
                </c:pt>
                <c:pt idx="1">
                  <c:v>#N/A</c:v>
                </c:pt>
              </c:numCache>
            </c:numRef>
          </c:xVal>
          <c:yVal>
            <c:numRef>
              <c:f>'_MB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9D9F-430C-8150-B7C6CDB9D760}"/>
            </c:ext>
          </c:extLst>
        </c:ser>
        <c:ser>
          <c:idx val="77"/>
          <c:order val="43"/>
          <c:tx>
            <c:strRef>
              <c:f>'_MB Analysis'!$AA$286</c:f>
              <c:strCache>
                <c:ptCount val="1"/>
              </c:strCache>
            </c:strRef>
          </c:tx>
          <c:spPr>
            <a:ln w="12700">
              <a:solidFill>
                <a:srgbClr val="000000"/>
              </a:solidFill>
            </a:ln>
          </c:spPr>
          <c:marker>
            <c:symbol val="none"/>
          </c:marker>
          <c:xVal>
            <c:numRef>
              <c:f>'_MB Analysis'!$AB$286:$AC$286</c:f>
              <c:numCache>
                <c:formatCode>General</c:formatCode>
                <c:ptCount val="2"/>
                <c:pt idx="0">
                  <c:v>#N/A</c:v>
                </c:pt>
                <c:pt idx="1">
                  <c:v>#N/A</c:v>
                </c:pt>
              </c:numCache>
            </c:numRef>
          </c:xVal>
          <c:yVal>
            <c:numRef>
              <c:f>'_MB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9D9F-430C-8150-B7C6CDB9D760}"/>
            </c:ext>
          </c:extLst>
        </c:ser>
        <c:ser>
          <c:idx val="76"/>
          <c:order val="44"/>
          <c:tx>
            <c:strRef>
              <c:f>'_MB Analysis'!$AA$285</c:f>
              <c:strCache>
                <c:ptCount val="1"/>
              </c:strCache>
            </c:strRef>
          </c:tx>
          <c:spPr>
            <a:ln w="12700">
              <a:solidFill>
                <a:srgbClr val="000000"/>
              </a:solidFill>
            </a:ln>
          </c:spPr>
          <c:marker>
            <c:symbol val="none"/>
          </c:marker>
          <c:xVal>
            <c:numRef>
              <c:f>'_MB Analysis'!$AB$285:$AC$285</c:f>
              <c:numCache>
                <c:formatCode>General</c:formatCode>
                <c:ptCount val="2"/>
                <c:pt idx="0">
                  <c:v>#N/A</c:v>
                </c:pt>
                <c:pt idx="1">
                  <c:v>#N/A</c:v>
                </c:pt>
              </c:numCache>
            </c:numRef>
          </c:xVal>
          <c:yVal>
            <c:numRef>
              <c:f>'_MB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9D9F-430C-8150-B7C6CDB9D760}"/>
            </c:ext>
          </c:extLst>
        </c:ser>
        <c:ser>
          <c:idx val="75"/>
          <c:order val="45"/>
          <c:tx>
            <c:strRef>
              <c:f>'_MB Analysis'!$AA$284</c:f>
              <c:strCache>
                <c:ptCount val="1"/>
              </c:strCache>
            </c:strRef>
          </c:tx>
          <c:spPr>
            <a:ln w="12700">
              <a:solidFill>
                <a:srgbClr val="000000"/>
              </a:solidFill>
            </a:ln>
          </c:spPr>
          <c:marker>
            <c:symbol val="none"/>
          </c:marker>
          <c:xVal>
            <c:numRef>
              <c:f>'_MB Analysis'!$AB$284:$AC$284</c:f>
              <c:numCache>
                <c:formatCode>General</c:formatCode>
                <c:ptCount val="2"/>
                <c:pt idx="0">
                  <c:v>#N/A</c:v>
                </c:pt>
                <c:pt idx="1">
                  <c:v>#N/A</c:v>
                </c:pt>
              </c:numCache>
            </c:numRef>
          </c:xVal>
          <c:yVal>
            <c:numRef>
              <c:f>'_MB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9D9F-430C-8150-B7C6CDB9D760}"/>
            </c:ext>
          </c:extLst>
        </c:ser>
        <c:ser>
          <c:idx val="74"/>
          <c:order val="46"/>
          <c:tx>
            <c:strRef>
              <c:f>'_MB Analysis'!$AA$283</c:f>
              <c:strCache>
                <c:ptCount val="1"/>
              </c:strCache>
            </c:strRef>
          </c:tx>
          <c:spPr>
            <a:ln w="12700">
              <a:solidFill>
                <a:srgbClr val="000000"/>
              </a:solidFill>
            </a:ln>
          </c:spPr>
          <c:marker>
            <c:symbol val="none"/>
          </c:marker>
          <c:xVal>
            <c:numRef>
              <c:f>'_MB Analysis'!$AB$283:$AC$283</c:f>
              <c:numCache>
                <c:formatCode>General</c:formatCode>
                <c:ptCount val="2"/>
                <c:pt idx="0">
                  <c:v>#N/A</c:v>
                </c:pt>
                <c:pt idx="1">
                  <c:v>#N/A</c:v>
                </c:pt>
              </c:numCache>
            </c:numRef>
          </c:xVal>
          <c:yVal>
            <c:numRef>
              <c:f>'_MB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9D9F-430C-8150-B7C6CDB9D760}"/>
            </c:ext>
          </c:extLst>
        </c:ser>
        <c:ser>
          <c:idx val="73"/>
          <c:order val="47"/>
          <c:tx>
            <c:strRef>
              <c:f>'_MB Analysis'!$AA$282</c:f>
              <c:strCache>
                <c:ptCount val="1"/>
              </c:strCache>
            </c:strRef>
          </c:tx>
          <c:spPr>
            <a:ln w="12700">
              <a:solidFill>
                <a:srgbClr val="000000"/>
              </a:solidFill>
            </a:ln>
          </c:spPr>
          <c:marker>
            <c:symbol val="none"/>
          </c:marker>
          <c:xVal>
            <c:numRef>
              <c:f>'_MB Analysis'!$AB$282:$AC$282</c:f>
              <c:numCache>
                <c:formatCode>General</c:formatCode>
                <c:ptCount val="2"/>
                <c:pt idx="0">
                  <c:v>#N/A</c:v>
                </c:pt>
                <c:pt idx="1">
                  <c:v>#N/A</c:v>
                </c:pt>
              </c:numCache>
            </c:numRef>
          </c:xVal>
          <c:yVal>
            <c:numRef>
              <c:f>'_MB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9D9F-430C-8150-B7C6CDB9D760}"/>
            </c:ext>
          </c:extLst>
        </c:ser>
        <c:ser>
          <c:idx val="72"/>
          <c:order val="48"/>
          <c:tx>
            <c:strRef>
              <c:f>'_MB Analysis'!$AA$281</c:f>
              <c:strCache>
                <c:ptCount val="1"/>
              </c:strCache>
            </c:strRef>
          </c:tx>
          <c:spPr>
            <a:ln w="12700">
              <a:solidFill>
                <a:srgbClr val="000000"/>
              </a:solidFill>
            </a:ln>
          </c:spPr>
          <c:marker>
            <c:symbol val="none"/>
          </c:marker>
          <c:xVal>
            <c:numRef>
              <c:f>'_MB Analysis'!$AB$281:$AC$281</c:f>
              <c:numCache>
                <c:formatCode>General</c:formatCode>
                <c:ptCount val="2"/>
                <c:pt idx="0">
                  <c:v>#N/A</c:v>
                </c:pt>
                <c:pt idx="1">
                  <c:v>#N/A</c:v>
                </c:pt>
              </c:numCache>
            </c:numRef>
          </c:xVal>
          <c:yVal>
            <c:numRef>
              <c:f>'_MB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9D9F-430C-8150-B7C6CDB9D760}"/>
            </c:ext>
          </c:extLst>
        </c:ser>
        <c:ser>
          <c:idx val="71"/>
          <c:order val="49"/>
          <c:tx>
            <c:strRef>
              <c:f>'_MB Analysis'!$AA$280</c:f>
              <c:strCache>
                <c:ptCount val="1"/>
              </c:strCache>
            </c:strRef>
          </c:tx>
          <c:spPr>
            <a:ln w="12700">
              <a:solidFill>
                <a:srgbClr val="000000"/>
              </a:solidFill>
            </a:ln>
          </c:spPr>
          <c:marker>
            <c:symbol val="none"/>
          </c:marker>
          <c:xVal>
            <c:numRef>
              <c:f>'_MB Analysis'!$AB$280:$AC$280</c:f>
              <c:numCache>
                <c:formatCode>General</c:formatCode>
                <c:ptCount val="2"/>
                <c:pt idx="0">
                  <c:v>#N/A</c:v>
                </c:pt>
                <c:pt idx="1">
                  <c:v>#N/A</c:v>
                </c:pt>
              </c:numCache>
            </c:numRef>
          </c:xVal>
          <c:yVal>
            <c:numRef>
              <c:f>'_MB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9D9F-430C-8150-B7C6CDB9D760}"/>
            </c:ext>
          </c:extLst>
        </c:ser>
        <c:ser>
          <c:idx val="70"/>
          <c:order val="50"/>
          <c:tx>
            <c:strRef>
              <c:f>'_MB Analysis'!$AA$279</c:f>
              <c:strCache>
                <c:ptCount val="1"/>
              </c:strCache>
            </c:strRef>
          </c:tx>
          <c:spPr>
            <a:ln w="12700">
              <a:solidFill>
                <a:srgbClr val="000000"/>
              </a:solidFill>
            </a:ln>
          </c:spPr>
          <c:marker>
            <c:symbol val="none"/>
          </c:marker>
          <c:xVal>
            <c:numRef>
              <c:f>'_MB Analysis'!$AB$279:$AC$279</c:f>
              <c:numCache>
                <c:formatCode>General</c:formatCode>
                <c:ptCount val="2"/>
                <c:pt idx="0">
                  <c:v>#N/A</c:v>
                </c:pt>
                <c:pt idx="1">
                  <c:v>#N/A</c:v>
                </c:pt>
              </c:numCache>
            </c:numRef>
          </c:xVal>
          <c:yVal>
            <c:numRef>
              <c:f>'_MB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9D9F-430C-8150-B7C6CDB9D760}"/>
            </c:ext>
          </c:extLst>
        </c:ser>
        <c:ser>
          <c:idx val="69"/>
          <c:order val="51"/>
          <c:tx>
            <c:strRef>
              <c:f>'_MB Analysis'!$AA$278</c:f>
              <c:strCache>
                <c:ptCount val="1"/>
              </c:strCache>
            </c:strRef>
          </c:tx>
          <c:spPr>
            <a:ln w="12700">
              <a:solidFill>
                <a:srgbClr val="000000"/>
              </a:solidFill>
            </a:ln>
          </c:spPr>
          <c:marker>
            <c:symbol val="none"/>
          </c:marker>
          <c:xVal>
            <c:numRef>
              <c:f>'_MB Analysis'!$AB$278:$AC$278</c:f>
              <c:numCache>
                <c:formatCode>General</c:formatCode>
                <c:ptCount val="2"/>
                <c:pt idx="0">
                  <c:v>#N/A</c:v>
                </c:pt>
                <c:pt idx="1">
                  <c:v>#N/A</c:v>
                </c:pt>
              </c:numCache>
            </c:numRef>
          </c:xVal>
          <c:yVal>
            <c:numRef>
              <c:f>'_MB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9D9F-430C-8150-B7C6CDB9D760}"/>
            </c:ext>
          </c:extLst>
        </c:ser>
        <c:ser>
          <c:idx val="68"/>
          <c:order val="52"/>
          <c:tx>
            <c:strRef>
              <c:f>'_MB Analysis'!$AA$277</c:f>
              <c:strCache>
                <c:ptCount val="1"/>
              </c:strCache>
            </c:strRef>
          </c:tx>
          <c:spPr>
            <a:ln w="12700">
              <a:solidFill>
                <a:srgbClr val="000000"/>
              </a:solidFill>
            </a:ln>
          </c:spPr>
          <c:marker>
            <c:symbol val="none"/>
          </c:marker>
          <c:xVal>
            <c:numRef>
              <c:f>'_MB Analysis'!$AB$277:$AC$277</c:f>
              <c:numCache>
                <c:formatCode>General</c:formatCode>
                <c:ptCount val="2"/>
                <c:pt idx="0">
                  <c:v>#N/A</c:v>
                </c:pt>
                <c:pt idx="1">
                  <c:v>#N/A</c:v>
                </c:pt>
              </c:numCache>
            </c:numRef>
          </c:xVal>
          <c:yVal>
            <c:numRef>
              <c:f>'_MB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9D9F-430C-8150-B7C6CDB9D760}"/>
            </c:ext>
          </c:extLst>
        </c:ser>
        <c:ser>
          <c:idx val="67"/>
          <c:order val="53"/>
          <c:tx>
            <c:strRef>
              <c:f>'_MB Analysis'!$AA$276</c:f>
              <c:strCache>
                <c:ptCount val="1"/>
              </c:strCache>
            </c:strRef>
          </c:tx>
          <c:spPr>
            <a:ln w="12700">
              <a:solidFill>
                <a:srgbClr val="000000"/>
              </a:solidFill>
            </a:ln>
          </c:spPr>
          <c:marker>
            <c:symbol val="none"/>
          </c:marker>
          <c:xVal>
            <c:numRef>
              <c:f>'_MB Analysis'!$AB$276:$AC$276</c:f>
              <c:numCache>
                <c:formatCode>General</c:formatCode>
                <c:ptCount val="2"/>
                <c:pt idx="0">
                  <c:v>#N/A</c:v>
                </c:pt>
                <c:pt idx="1">
                  <c:v>#N/A</c:v>
                </c:pt>
              </c:numCache>
            </c:numRef>
          </c:xVal>
          <c:yVal>
            <c:numRef>
              <c:f>'_MB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9D9F-430C-8150-B7C6CDB9D760}"/>
            </c:ext>
          </c:extLst>
        </c:ser>
        <c:ser>
          <c:idx val="66"/>
          <c:order val="54"/>
          <c:tx>
            <c:strRef>
              <c:f>'_MB Analysis'!$AA$275</c:f>
              <c:strCache>
                <c:ptCount val="1"/>
              </c:strCache>
            </c:strRef>
          </c:tx>
          <c:spPr>
            <a:ln w="12700">
              <a:solidFill>
                <a:srgbClr val="000000"/>
              </a:solidFill>
            </a:ln>
          </c:spPr>
          <c:marker>
            <c:symbol val="none"/>
          </c:marker>
          <c:xVal>
            <c:numRef>
              <c:f>'_MB Analysis'!$AB$275:$AC$275</c:f>
              <c:numCache>
                <c:formatCode>General</c:formatCode>
                <c:ptCount val="2"/>
                <c:pt idx="0">
                  <c:v>#N/A</c:v>
                </c:pt>
                <c:pt idx="1">
                  <c:v>#N/A</c:v>
                </c:pt>
              </c:numCache>
            </c:numRef>
          </c:xVal>
          <c:yVal>
            <c:numRef>
              <c:f>'_MB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9D9F-430C-8150-B7C6CDB9D760}"/>
            </c:ext>
          </c:extLst>
        </c:ser>
        <c:ser>
          <c:idx val="65"/>
          <c:order val="55"/>
          <c:tx>
            <c:strRef>
              <c:f>'_MB Analysis'!$AA$274</c:f>
              <c:strCache>
                <c:ptCount val="1"/>
              </c:strCache>
            </c:strRef>
          </c:tx>
          <c:spPr>
            <a:ln w="12700">
              <a:solidFill>
                <a:srgbClr val="000000"/>
              </a:solidFill>
            </a:ln>
          </c:spPr>
          <c:marker>
            <c:symbol val="none"/>
          </c:marker>
          <c:xVal>
            <c:numRef>
              <c:f>'_MB Analysis'!$AB$274:$AC$274</c:f>
              <c:numCache>
                <c:formatCode>General</c:formatCode>
                <c:ptCount val="2"/>
                <c:pt idx="0">
                  <c:v>#N/A</c:v>
                </c:pt>
                <c:pt idx="1">
                  <c:v>#N/A</c:v>
                </c:pt>
              </c:numCache>
            </c:numRef>
          </c:xVal>
          <c:yVal>
            <c:numRef>
              <c:f>'_MB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9D9F-430C-8150-B7C6CDB9D760}"/>
            </c:ext>
          </c:extLst>
        </c:ser>
        <c:ser>
          <c:idx val="64"/>
          <c:order val="56"/>
          <c:tx>
            <c:strRef>
              <c:f>'_MB Analysis'!$AA$273</c:f>
              <c:strCache>
                <c:ptCount val="1"/>
              </c:strCache>
            </c:strRef>
          </c:tx>
          <c:spPr>
            <a:ln w="12700">
              <a:solidFill>
                <a:srgbClr val="000000"/>
              </a:solidFill>
            </a:ln>
          </c:spPr>
          <c:marker>
            <c:symbol val="none"/>
          </c:marker>
          <c:xVal>
            <c:numRef>
              <c:f>'_MB Analysis'!$AB$273:$AC$273</c:f>
              <c:numCache>
                <c:formatCode>General</c:formatCode>
                <c:ptCount val="2"/>
                <c:pt idx="0">
                  <c:v>#N/A</c:v>
                </c:pt>
                <c:pt idx="1">
                  <c:v>#N/A</c:v>
                </c:pt>
              </c:numCache>
            </c:numRef>
          </c:xVal>
          <c:yVal>
            <c:numRef>
              <c:f>'_MB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9D9F-430C-8150-B7C6CDB9D760}"/>
            </c:ext>
          </c:extLst>
        </c:ser>
        <c:ser>
          <c:idx val="63"/>
          <c:order val="57"/>
          <c:tx>
            <c:strRef>
              <c:f>'_MB Analysis'!$AA$272</c:f>
              <c:strCache>
                <c:ptCount val="1"/>
              </c:strCache>
            </c:strRef>
          </c:tx>
          <c:spPr>
            <a:ln w="12700">
              <a:solidFill>
                <a:srgbClr val="000000"/>
              </a:solidFill>
            </a:ln>
          </c:spPr>
          <c:marker>
            <c:symbol val="none"/>
          </c:marker>
          <c:xVal>
            <c:numRef>
              <c:f>'_MB Analysis'!$AB$272:$AC$272</c:f>
              <c:numCache>
                <c:formatCode>General</c:formatCode>
                <c:ptCount val="2"/>
                <c:pt idx="0">
                  <c:v>#N/A</c:v>
                </c:pt>
                <c:pt idx="1">
                  <c:v>#N/A</c:v>
                </c:pt>
              </c:numCache>
            </c:numRef>
          </c:xVal>
          <c:yVal>
            <c:numRef>
              <c:f>'_MB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9D9F-430C-8150-B7C6CDB9D760}"/>
            </c:ext>
          </c:extLst>
        </c:ser>
        <c:ser>
          <c:idx val="62"/>
          <c:order val="58"/>
          <c:tx>
            <c:strRef>
              <c:f>'_MB Analysis'!$AA$271</c:f>
              <c:strCache>
                <c:ptCount val="1"/>
              </c:strCache>
            </c:strRef>
          </c:tx>
          <c:spPr>
            <a:ln w="12700">
              <a:solidFill>
                <a:srgbClr val="000000"/>
              </a:solidFill>
            </a:ln>
          </c:spPr>
          <c:marker>
            <c:symbol val="none"/>
          </c:marker>
          <c:xVal>
            <c:numRef>
              <c:f>'_MB Analysis'!$AB$271:$AC$271</c:f>
              <c:numCache>
                <c:formatCode>General</c:formatCode>
                <c:ptCount val="2"/>
                <c:pt idx="0">
                  <c:v>#N/A</c:v>
                </c:pt>
                <c:pt idx="1">
                  <c:v>#N/A</c:v>
                </c:pt>
              </c:numCache>
            </c:numRef>
          </c:xVal>
          <c:yVal>
            <c:numRef>
              <c:f>'_MB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9D9F-430C-8150-B7C6CDB9D760}"/>
            </c:ext>
          </c:extLst>
        </c:ser>
        <c:ser>
          <c:idx val="61"/>
          <c:order val="59"/>
          <c:tx>
            <c:strRef>
              <c:f>'_MB Analysis'!$AA$270</c:f>
              <c:strCache>
                <c:ptCount val="1"/>
              </c:strCache>
            </c:strRef>
          </c:tx>
          <c:spPr>
            <a:ln w="12700">
              <a:solidFill>
                <a:srgbClr val="000000"/>
              </a:solidFill>
            </a:ln>
          </c:spPr>
          <c:marker>
            <c:symbol val="none"/>
          </c:marker>
          <c:xVal>
            <c:numRef>
              <c:f>'_MB Analysis'!$AB$270:$AC$270</c:f>
              <c:numCache>
                <c:formatCode>General</c:formatCode>
                <c:ptCount val="2"/>
                <c:pt idx="0">
                  <c:v>#N/A</c:v>
                </c:pt>
                <c:pt idx="1">
                  <c:v>#N/A</c:v>
                </c:pt>
              </c:numCache>
            </c:numRef>
          </c:xVal>
          <c:yVal>
            <c:numRef>
              <c:f>'_MB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9D9F-430C-8150-B7C6CDB9D760}"/>
            </c:ext>
          </c:extLst>
        </c:ser>
        <c:ser>
          <c:idx val="60"/>
          <c:order val="60"/>
          <c:tx>
            <c:strRef>
              <c:f>'_MB Analysis'!$AA$269</c:f>
              <c:strCache>
                <c:ptCount val="1"/>
              </c:strCache>
            </c:strRef>
          </c:tx>
          <c:spPr>
            <a:ln w="12700">
              <a:solidFill>
                <a:srgbClr val="000000"/>
              </a:solidFill>
            </a:ln>
          </c:spPr>
          <c:marker>
            <c:symbol val="none"/>
          </c:marker>
          <c:xVal>
            <c:numRef>
              <c:f>'_MB Analysis'!$AB$269:$AC$269</c:f>
              <c:numCache>
                <c:formatCode>General</c:formatCode>
                <c:ptCount val="2"/>
                <c:pt idx="0">
                  <c:v>#N/A</c:v>
                </c:pt>
                <c:pt idx="1">
                  <c:v>#N/A</c:v>
                </c:pt>
              </c:numCache>
            </c:numRef>
          </c:xVal>
          <c:yVal>
            <c:numRef>
              <c:f>'_MB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9D9F-430C-8150-B7C6CDB9D760}"/>
            </c:ext>
          </c:extLst>
        </c:ser>
        <c:ser>
          <c:idx val="59"/>
          <c:order val="61"/>
          <c:tx>
            <c:strRef>
              <c:f>'_MB Analysis'!$AA$268</c:f>
              <c:strCache>
                <c:ptCount val="1"/>
              </c:strCache>
            </c:strRef>
          </c:tx>
          <c:spPr>
            <a:ln w="12700">
              <a:solidFill>
                <a:srgbClr val="000000"/>
              </a:solidFill>
            </a:ln>
          </c:spPr>
          <c:marker>
            <c:symbol val="none"/>
          </c:marker>
          <c:xVal>
            <c:numRef>
              <c:f>'_MB Analysis'!$AB$268:$AC$268</c:f>
              <c:numCache>
                <c:formatCode>General</c:formatCode>
                <c:ptCount val="2"/>
                <c:pt idx="0">
                  <c:v>#N/A</c:v>
                </c:pt>
                <c:pt idx="1">
                  <c:v>#N/A</c:v>
                </c:pt>
              </c:numCache>
            </c:numRef>
          </c:xVal>
          <c:yVal>
            <c:numRef>
              <c:f>'_MB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9D9F-430C-8150-B7C6CDB9D760}"/>
            </c:ext>
          </c:extLst>
        </c:ser>
        <c:ser>
          <c:idx val="58"/>
          <c:order val="62"/>
          <c:tx>
            <c:strRef>
              <c:f>'_MB Analysis'!$AA$267</c:f>
              <c:strCache>
                <c:ptCount val="1"/>
              </c:strCache>
            </c:strRef>
          </c:tx>
          <c:spPr>
            <a:ln w="12700">
              <a:solidFill>
                <a:srgbClr val="000000"/>
              </a:solidFill>
            </a:ln>
          </c:spPr>
          <c:marker>
            <c:symbol val="none"/>
          </c:marker>
          <c:xVal>
            <c:numRef>
              <c:f>'_MB Analysis'!$AB$267:$AC$267</c:f>
              <c:numCache>
                <c:formatCode>General</c:formatCode>
                <c:ptCount val="2"/>
                <c:pt idx="0">
                  <c:v>#N/A</c:v>
                </c:pt>
                <c:pt idx="1">
                  <c:v>#N/A</c:v>
                </c:pt>
              </c:numCache>
            </c:numRef>
          </c:xVal>
          <c:yVal>
            <c:numRef>
              <c:f>'_MB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9D9F-430C-8150-B7C6CDB9D760}"/>
            </c:ext>
          </c:extLst>
        </c:ser>
        <c:ser>
          <c:idx val="57"/>
          <c:order val="63"/>
          <c:tx>
            <c:strRef>
              <c:f>'_MB Analysis'!$AA$266</c:f>
              <c:strCache>
                <c:ptCount val="1"/>
              </c:strCache>
            </c:strRef>
          </c:tx>
          <c:spPr>
            <a:ln w="12700">
              <a:solidFill>
                <a:srgbClr val="000000"/>
              </a:solidFill>
            </a:ln>
          </c:spPr>
          <c:marker>
            <c:symbol val="none"/>
          </c:marker>
          <c:xVal>
            <c:numRef>
              <c:f>'_MB Analysis'!$AB$266:$AC$266</c:f>
              <c:numCache>
                <c:formatCode>General</c:formatCode>
                <c:ptCount val="2"/>
                <c:pt idx="0">
                  <c:v>#N/A</c:v>
                </c:pt>
                <c:pt idx="1">
                  <c:v>#N/A</c:v>
                </c:pt>
              </c:numCache>
            </c:numRef>
          </c:xVal>
          <c:yVal>
            <c:numRef>
              <c:f>'_MB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9D9F-430C-8150-B7C6CDB9D760}"/>
            </c:ext>
          </c:extLst>
        </c:ser>
        <c:ser>
          <c:idx val="56"/>
          <c:order val="64"/>
          <c:tx>
            <c:strRef>
              <c:f>'_MB Analysis'!$AA$265</c:f>
              <c:strCache>
                <c:ptCount val="1"/>
              </c:strCache>
            </c:strRef>
          </c:tx>
          <c:spPr>
            <a:ln w="12700">
              <a:solidFill>
                <a:srgbClr val="000000"/>
              </a:solidFill>
            </a:ln>
          </c:spPr>
          <c:marker>
            <c:symbol val="none"/>
          </c:marker>
          <c:xVal>
            <c:numRef>
              <c:f>'_MB Analysis'!$AB$265:$AC$265</c:f>
              <c:numCache>
                <c:formatCode>General</c:formatCode>
                <c:ptCount val="2"/>
                <c:pt idx="0">
                  <c:v>#N/A</c:v>
                </c:pt>
                <c:pt idx="1">
                  <c:v>#N/A</c:v>
                </c:pt>
              </c:numCache>
            </c:numRef>
          </c:xVal>
          <c:yVal>
            <c:numRef>
              <c:f>'_MB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9D9F-430C-8150-B7C6CDB9D760}"/>
            </c:ext>
          </c:extLst>
        </c:ser>
        <c:ser>
          <c:idx val="55"/>
          <c:order val="65"/>
          <c:tx>
            <c:strRef>
              <c:f>'_MB Analysis'!$AA$264</c:f>
              <c:strCache>
                <c:ptCount val="1"/>
              </c:strCache>
            </c:strRef>
          </c:tx>
          <c:spPr>
            <a:ln w="12700">
              <a:solidFill>
                <a:srgbClr val="000000"/>
              </a:solidFill>
            </a:ln>
          </c:spPr>
          <c:marker>
            <c:symbol val="none"/>
          </c:marker>
          <c:xVal>
            <c:numRef>
              <c:f>'_MB Analysis'!$AB$264:$AC$264</c:f>
              <c:numCache>
                <c:formatCode>General</c:formatCode>
                <c:ptCount val="2"/>
                <c:pt idx="0">
                  <c:v>#N/A</c:v>
                </c:pt>
                <c:pt idx="1">
                  <c:v>#N/A</c:v>
                </c:pt>
              </c:numCache>
            </c:numRef>
          </c:xVal>
          <c:yVal>
            <c:numRef>
              <c:f>'_MB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9D9F-430C-8150-B7C6CDB9D760}"/>
            </c:ext>
          </c:extLst>
        </c:ser>
        <c:ser>
          <c:idx val="54"/>
          <c:order val="66"/>
          <c:tx>
            <c:strRef>
              <c:f>'_MB Analysis'!$AA$263</c:f>
              <c:strCache>
                <c:ptCount val="1"/>
              </c:strCache>
            </c:strRef>
          </c:tx>
          <c:spPr>
            <a:ln w="12700">
              <a:solidFill>
                <a:srgbClr val="000000"/>
              </a:solidFill>
            </a:ln>
          </c:spPr>
          <c:marker>
            <c:symbol val="none"/>
          </c:marker>
          <c:xVal>
            <c:numRef>
              <c:f>'_MB Analysis'!$AB$263:$AC$263</c:f>
              <c:numCache>
                <c:formatCode>General</c:formatCode>
                <c:ptCount val="2"/>
                <c:pt idx="0">
                  <c:v>#N/A</c:v>
                </c:pt>
                <c:pt idx="1">
                  <c:v>#N/A</c:v>
                </c:pt>
              </c:numCache>
            </c:numRef>
          </c:xVal>
          <c:yVal>
            <c:numRef>
              <c:f>'_MB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9D9F-430C-8150-B7C6CDB9D760}"/>
            </c:ext>
          </c:extLst>
        </c:ser>
        <c:ser>
          <c:idx val="53"/>
          <c:order val="67"/>
          <c:tx>
            <c:strRef>
              <c:f>'_MB Analysis'!$AA$262</c:f>
              <c:strCache>
                <c:ptCount val="1"/>
              </c:strCache>
            </c:strRef>
          </c:tx>
          <c:spPr>
            <a:ln w="12700">
              <a:solidFill>
                <a:srgbClr val="000000"/>
              </a:solidFill>
            </a:ln>
          </c:spPr>
          <c:marker>
            <c:symbol val="none"/>
          </c:marker>
          <c:xVal>
            <c:numRef>
              <c:f>'_MB Analysis'!$AB$262:$AC$262</c:f>
              <c:numCache>
                <c:formatCode>General</c:formatCode>
                <c:ptCount val="2"/>
                <c:pt idx="0">
                  <c:v>#N/A</c:v>
                </c:pt>
                <c:pt idx="1">
                  <c:v>#N/A</c:v>
                </c:pt>
              </c:numCache>
            </c:numRef>
          </c:xVal>
          <c:yVal>
            <c:numRef>
              <c:f>'_MB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9D9F-430C-8150-B7C6CDB9D760}"/>
            </c:ext>
          </c:extLst>
        </c:ser>
        <c:ser>
          <c:idx val="52"/>
          <c:order val="68"/>
          <c:tx>
            <c:strRef>
              <c:f>'_MB Analysis'!$AA$261</c:f>
              <c:strCache>
                <c:ptCount val="1"/>
              </c:strCache>
            </c:strRef>
          </c:tx>
          <c:spPr>
            <a:ln w="12700">
              <a:solidFill>
                <a:srgbClr val="000000"/>
              </a:solidFill>
            </a:ln>
          </c:spPr>
          <c:marker>
            <c:symbol val="none"/>
          </c:marker>
          <c:xVal>
            <c:numRef>
              <c:f>'_MB Analysis'!$AB$261:$AC$261</c:f>
              <c:numCache>
                <c:formatCode>General</c:formatCode>
                <c:ptCount val="2"/>
                <c:pt idx="0">
                  <c:v>#N/A</c:v>
                </c:pt>
                <c:pt idx="1">
                  <c:v>#N/A</c:v>
                </c:pt>
              </c:numCache>
            </c:numRef>
          </c:xVal>
          <c:yVal>
            <c:numRef>
              <c:f>'_MB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9D9F-430C-8150-B7C6CDB9D760}"/>
            </c:ext>
          </c:extLst>
        </c:ser>
        <c:ser>
          <c:idx val="51"/>
          <c:order val="69"/>
          <c:tx>
            <c:strRef>
              <c:f>'_MB Analysis'!$AA$260</c:f>
              <c:strCache>
                <c:ptCount val="1"/>
              </c:strCache>
            </c:strRef>
          </c:tx>
          <c:spPr>
            <a:ln w="12700">
              <a:solidFill>
                <a:srgbClr val="000000"/>
              </a:solidFill>
            </a:ln>
          </c:spPr>
          <c:marker>
            <c:symbol val="none"/>
          </c:marker>
          <c:xVal>
            <c:numRef>
              <c:f>'_MB Analysis'!$AB$260:$AC$260</c:f>
              <c:numCache>
                <c:formatCode>General</c:formatCode>
                <c:ptCount val="2"/>
                <c:pt idx="0">
                  <c:v>#N/A</c:v>
                </c:pt>
                <c:pt idx="1">
                  <c:v>#N/A</c:v>
                </c:pt>
              </c:numCache>
            </c:numRef>
          </c:xVal>
          <c:yVal>
            <c:numRef>
              <c:f>'_MB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9D9F-430C-8150-B7C6CDB9D760}"/>
            </c:ext>
          </c:extLst>
        </c:ser>
        <c:ser>
          <c:idx val="0"/>
          <c:order val="70"/>
          <c:spPr>
            <a:ln w="12700">
              <a:solidFill>
                <a:srgbClr val="000000"/>
              </a:solidFill>
              <a:prstDash val="solid"/>
            </a:ln>
          </c:spPr>
          <c:marker>
            <c:symbol val="none"/>
          </c:marker>
          <c:xVal>
            <c:strRef>
              <c:f>'_MB Analysis'!$AA$200:$AA$204</c:f>
              <c:strCache>
                <c:ptCount val="5"/>
                <c:pt idx="0">
                  <c:v>0</c:v>
                </c:pt>
                <c:pt idx="3">
                  <c:v>0</c:v>
                </c:pt>
                <c:pt idx="4">
                  <c:v>0</c:v>
                </c:pt>
              </c:strCache>
            </c:strRef>
          </c:xVal>
          <c:yVal>
            <c:numRef>
              <c:f>'_MB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9D9F-430C-8150-B7C6CDB9D760}"/>
            </c:ext>
          </c:extLst>
        </c:ser>
        <c:ser>
          <c:idx val="1"/>
          <c:order val="71"/>
          <c:tx>
            <c:strRef>
              <c:f>'_MB Analysis'!$AA$210</c:f>
              <c:strCache>
                <c:ptCount val="1"/>
              </c:strCache>
            </c:strRef>
          </c:tx>
          <c:spPr>
            <a:ln w="12700">
              <a:solidFill>
                <a:srgbClr val="000000"/>
              </a:solidFill>
            </a:ln>
          </c:spPr>
          <c:marker>
            <c:symbol val="none"/>
          </c:marker>
          <c:xVal>
            <c:numRef>
              <c:f>'_MB Analysis'!$AB$210:$AC$210</c:f>
              <c:numCache>
                <c:formatCode>General</c:formatCode>
                <c:ptCount val="2"/>
                <c:pt idx="0">
                  <c:v>#N/A</c:v>
                </c:pt>
                <c:pt idx="1">
                  <c:v>#N/A</c:v>
                </c:pt>
              </c:numCache>
            </c:numRef>
          </c:xVal>
          <c:yVal>
            <c:numRef>
              <c:f>'_MB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9D9F-430C-8150-B7C6CDB9D760}"/>
            </c:ext>
          </c:extLst>
        </c:ser>
        <c:ser>
          <c:idx val="2"/>
          <c:order val="72"/>
          <c:tx>
            <c:strRef>
              <c:f>'_MB Analysis'!$AA$211</c:f>
              <c:strCache>
                <c:ptCount val="1"/>
              </c:strCache>
            </c:strRef>
          </c:tx>
          <c:spPr>
            <a:ln w="12700">
              <a:solidFill>
                <a:srgbClr val="000000"/>
              </a:solidFill>
            </a:ln>
          </c:spPr>
          <c:marker>
            <c:symbol val="none"/>
          </c:marker>
          <c:xVal>
            <c:numRef>
              <c:f>'_MB Analysis'!$AB$211:$AC$211</c:f>
              <c:numCache>
                <c:formatCode>General</c:formatCode>
                <c:ptCount val="2"/>
                <c:pt idx="0">
                  <c:v>#N/A</c:v>
                </c:pt>
                <c:pt idx="1">
                  <c:v>#N/A</c:v>
                </c:pt>
              </c:numCache>
            </c:numRef>
          </c:xVal>
          <c:yVal>
            <c:numRef>
              <c:f>'_MB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9D9F-430C-8150-B7C6CDB9D760}"/>
            </c:ext>
          </c:extLst>
        </c:ser>
        <c:ser>
          <c:idx val="3"/>
          <c:order val="73"/>
          <c:tx>
            <c:strRef>
              <c:f>'_MB Analysis'!$AA$212</c:f>
              <c:strCache>
                <c:ptCount val="1"/>
              </c:strCache>
            </c:strRef>
          </c:tx>
          <c:spPr>
            <a:ln w="12700">
              <a:solidFill>
                <a:srgbClr val="000000"/>
              </a:solidFill>
            </a:ln>
          </c:spPr>
          <c:marker>
            <c:symbol val="none"/>
          </c:marker>
          <c:xVal>
            <c:numRef>
              <c:f>'_MB Analysis'!$AB$212:$AC$212</c:f>
              <c:numCache>
                <c:formatCode>General</c:formatCode>
                <c:ptCount val="2"/>
                <c:pt idx="0">
                  <c:v>#N/A</c:v>
                </c:pt>
                <c:pt idx="1">
                  <c:v>#N/A</c:v>
                </c:pt>
              </c:numCache>
            </c:numRef>
          </c:xVal>
          <c:yVal>
            <c:numRef>
              <c:f>'_MB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9D9F-430C-8150-B7C6CDB9D760}"/>
            </c:ext>
          </c:extLst>
        </c:ser>
        <c:ser>
          <c:idx val="4"/>
          <c:order val="74"/>
          <c:tx>
            <c:strRef>
              <c:f>'_MB Analysis'!$AA$213</c:f>
              <c:strCache>
                <c:ptCount val="1"/>
              </c:strCache>
            </c:strRef>
          </c:tx>
          <c:spPr>
            <a:ln w="12700">
              <a:solidFill>
                <a:srgbClr val="000000"/>
              </a:solidFill>
            </a:ln>
          </c:spPr>
          <c:marker>
            <c:symbol val="none"/>
          </c:marker>
          <c:xVal>
            <c:numRef>
              <c:f>'_MB Analysis'!$AB$213:$AC$213</c:f>
              <c:numCache>
                <c:formatCode>General</c:formatCode>
                <c:ptCount val="2"/>
                <c:pt idx="0">
                  <c:v>#N/A</c:v>
                </c:pt>
                <c:pt idx="1">
                  <c:v>#N/A</c:v>
                </c:pt>
              </c:numCache>
            </c:numRef>
          </c:xVal>
          <c:yVal>
            <c:numRef>
              <c:f>'_MB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9D9F-430C-8150-B7C6CDB9D760}"/>
            </c:ext>
          </c:extLst>
        </c:ser>
        <c:ser>
          <c:idx val="5"/>
          <c:order val="75"/>
          <c:tx>
            <c:strRef>
              <c:f>'_MB Analysis'!$AA$214</c:f>
              <c:strCache>
                <c:ptCount val="1"/>
              </c:strCache>
            </c:strRef>
          </c:tx>
          <c:spPr>
            <a:ln w="12700">
              <a:solidFill>
                <a:srgbClr val="000000"/>
              </a:solidFill>
            </a:ln>
          </c:spPr>
          <c:marker>
            <c:symbol val="none"/>
          </c:marker>
          <c:xVal>
            <c:numRef>
              <c:f>'_MB Analysis'!$AB$214:$AC$214</c:f>
              <c:numCache>
                <c:formatCode>General</c:formatCode>
                <c:ptCount val="2"/>
                <c:pt idx="0">
                  <c:v>#N/A</c:v>
                </c:pt>
                <c:pt idx="1">
                  <c:v>#N/A</c:v>
                </c:pt>
              </c:numCache>
            </c:numRef>
          </c:xVal>
          <c:yVal>
            <c:numRef>
              <c:f>'_MB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9D9F-430C-8150-B7C6CDB9D760}"/>
            </c:ext>
          </c:extLst>
        </c:ser>
        <c:ser>
          <c:idx val="6"/>
          <c:order val="76"/>
          <c:tx>
            <c:strRef>
              <c:f>'_MB Analysis'!$AA$215</c:f>
              <c:strCache>
                <c:ptCount val="1"/>
              </c:strCache>
            </c:strRef>
          </c:tx>
          <c:spPr>
            <a:ln w="12700">
              <a:solidFill>
                <a:srgbClr val="000000"/>
              </a:solidFill>
            </a:ln>
          </c:spPr>
          <c:marker>
            <c:symbol val="none"/>
          </c:marker>
          <c:xVal>
            <c:numRef>
              <c:f>'_MB Analysis'!$AB$215:$AC$215</c:f>
              <c:numCache>
                <c:formatCode>General</c:formatCode>
                <c:ptCount val="2"/>
                <c:pt idx="0">
                  <c:v>#N/A</c:v>
                </c:pt>
                <c:pt idx="1">
                  <c:v>#N/A</c:v>
                </c:pt>
              </c:numCache>
            </c:numRef>
          </c:xVal>
          <c:yVal>
            <c:numRef>
              <c:f>'_MB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9D9F-430C-8150-B7C6CDB9D760}"/>
            </c:ext>
          </c:extLst>
        </c:ser>
        <c:ser>
          <c:idx val="7"/>
          <c:order val="77"/>
          <c:tx>
            <c:strRef>
              <c:f>'_MB Analysis'!$AA$216</c:f>
              <c:strCache>
                <c:ptCount val="1"/>
              </c:strCache>
            </c:strRef>
          </c:tx>
          <c:spPr>
            <a:ln w="12700">
              <a:solidFill>
                <a:srgbClr val="000000"/>
              </a:solidFill>
            </a:ln>
          </c:spPr>
          <c:marker>
            <c:symbol val="none"/>
          </c:marker>
          <c:xVal>
            <c:numRef>
              <c:f>'_MB Analysis'!$AB$216:$AC$216</c:f>
              <c:numCache>
                <c:formatCode>General</c:formatCode>
                <c:ptCount val="2"/>
                <c:pt idx="0">
                  <c:v>#N/A</c:v>
                </c:pt>
                <c:pt idx="1">
                  <c:v>#N/A</c:v>
                </c:pt>
              </c:numCache>
            </c:numRef>
          </c:xVal>
          <c:yVal>
            <c:numRef>
              <c:f>'_MB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9D9F-430C-8150-B7C6CDB9D760}"/>
            </c:ext>
          </c:extLst>
        </c:ser>
        <c:ser>
          <c:idx val="8"/>
          <c:order val="78"/>
          <c:tx>
            <c:strRef>
              <c:f>'_MB Analysis'!$AA$217</c:f>
              <c:strCache>
                <c:ptCount val="1"/>
              </c:strCache>
            </c:strRef>
          </c:tx>
          <c:spPr>
            <a:ln w="12700">
              <a:solidFill>
                <a:srgbClr val="000000"/>
              </a:solidFill>
            </a:ln>
          </c:spPr>
          <c:marker>
            <c:symbol val="none"/>
          </c:marker>
          <c:xVal>
            <c:numRef>
              <c:f>'_MB Analysis'!$AB$217:$AC$217</c:f>
              <c:numCache>
                <c:formatCode>General</c:formatCode>
                <c:ptCount val="2"/>
                <c:pt idx="0">
                  <c:v>#N/A</c:v>
                </c:pt>
                <c:pt idx="1">
                  <c:v>#N/A</c:v>
                </c:pt>
              </c:numCache>
            </c:numRef>
          </c:xVal>
          <c:yVal>
            <c:numRef>
              <c:f>'_MB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9D9F-430C-8150-B7C6CDB9D760}"/>
            </c:ext>
          </c:extLst>
        </c:ser>
        <c:ser>
          <c:idx val="9"/>
          <c:order val="79"/>
          <c:tx>
            <c:strRef>
              <c:f>'_MB Analysis'!$AA$218</c:f>
              <c:strCache>
                <c:ptCount val="1"/>
              </c:strCache>
            </c:strRef>
          </c:tx>
          <c:spPr>
            <a:ln w="12700">
              <a:solidFill>
                <a:srgbClr val="000000"/>
              </a:solidFill>
            </a:ln>
          </c:spPr>
          <c:marker>
            <c:symbol val="none"/>
          </c:marker>
          <c:xVal>
            <c:numRef>
              <c:f>'_MB Analysis'!$AB$218:$AC$218</c:f>
              <c:numCache>
                <c:formatCode>General</c:formatCode>
                <c:ptCount val="2"/>
                <c:pt idx="0">
                  <c:v>#N/A</c:v>
                </c:pt>
                <c:pt idx="1">
                  <c:v>#N/A</c:v>
                </c:pt>
              </c:numCache>
            </c:numRef>
          </c:xVal>
          <c:yVal>
            <c:numRef>
              <c:f>'_MB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9D9F-430C-8150-B7C6CDB9D760}"/>
            </c:ext>
          </c:extLst>
        </c:ser>
        <c:ser>
          <c:idx val="10"/>
          <c:order val="80"/>
          <c:tx>
            <c:strRef>
              <c:f>'_MB Analysis'!$AA$219</c:f>
              <c:strCache>
                <c:ptCount val="1"/>
              </c:strCache>
            </c:strRef>
          </c:tx>
          <c:spPr>
            <a:ln w="12700">
              <a:solidFill>
                <a:srgbClr val="000000"/>
              </a:solidFill>
            </a:ln>
          </c:spPr>
          <c:marker>
            <c:symbol val="none"/>
          </c:marker>
          <c:xVal>
            <c:numRef>
              <c:f>'_MB Analysis'!$AB$219:$AC$219</c:f>
              <c:numCache>
                <c:formatCode>General</c:formatCode>
                <c:ptCount val="2"/>
                <c:pt idx="0">
                  <c:v>#N/A</c:v>
                </c:pt>
                <c:pt idx="1">
                  <c:v>#N/A</c:v>
                </c:pt>
              </c:numCache>
            </c:numRef>
          </c:xVal>
          <c:yVal>
            <c:numRef>
              <c:f>'_MB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9D9F-430C-8150-B7C6CDB9D760}"/>
            </c:ext>
          </c:extLst>
        </c:ser>
        <c:ser>
          <c:idx val="11"/>
          <c:order val="81"/>
          <c:tx>
            <c:strRef>
              <c:f>'_MB Analysis'!$AA$220</c:f>
              <c:strCache>
                <c:ptCount val="1"/>
              </c:strCache>
            </c:strRef>
          </c:tx>
          <c:spPr>
            <a:ln w="12700">
              <a:solidFill>
                <a:srgbClr val="000000"/>
              </a:solidFill>
            </a:ln>
          </c:spPr>
          <c:marker>
            <c:symbol val="none"/>
          </c:marker>
          <c:xVal>
            <c:numRef>
              <c:f>'_MB Analysis'!$AB$220:$AC$220</c:f>
              <c:numCache>
                <c:formatCode>General</c:formatCode>
                <c:ptCount val="2"/>
                <c:pt idx="0">
                  <c:v>#N/A</c:v>
                </c:pt>
                <c:pt idx="1">
                  <c:v>#N/A</c:v>
                </c:pt>
              </c:numCache>
            </c:numRef>
          </c:xVal>
          <c:yVal>
            <c:numRef>
              <c:f>'_MB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9D9F-430C-8150-B7C6CDB9D760}"/>
            </c:ext>
          </c:extLst>
        </c:ser>
        <c:ser>
          <c:idx val="12"/>
          <c:order val="82"/>
          <c:tx>
            <c:strRef>
              <c:f>'_MB Analysis'!$AA$221</c:f>
              <c:strCache>
                <c:ptCount val="1"/>
              </c:strCache>
            </c:strRef>
          </c:tx>
          <c:spPr>
            <a:ln w="12700">
              <a:solidFill>
                <a:srgbClr val="000000"/>
              </a:solidFill>
            </a:ln>
          </c:spPr>
          <c:marker>
            <c:symbol val="none"/>
          </c:marker>
          <c:xVal>
            <c:numRef>
              <c:f>'_MB Analysis'!$AB$221:$AC$221</c:f>
              <c:numCache>
                <c:formatCode>General</c:formatCode>
                <c:ptCount val="2"/>
                <c:pt idx="0">
                  <c:v>#N/A</c:v>
                </c:pt>
                <c:pt idx="1">
                  <c:v>#N/A</c:v>
                </c:pt>
              </c:numCache>
            </c:numRef>
          </c:xVal>
          <c:yVal>
            <c:numRef>
              <c:f>'_MB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9D9F-430C-8150-B7C6CDB9D760}"/>
            </c:ext>
          </c:extLst>
        </c:ser>
        <c:ser>
          <c:idx val="13"/>
          <c:order val="83"/>
          <c:tx>
            <c:strRef>
              <c:f>'_MB Analysis'!$AA$222</c:f>
              <c:strCache>
                <c:ptCount val="1"/>
              </c:strCache>
            </c:strRef>
          </c:tx>
          <c:spPr>
            <a:ln w="12700">
              <a:solidFill>
                <a:srgbClr val="000000"/>
              </a:solidFill>
            </a:ln>
          </c:spPr>
          <c:marker>
            <c:symbol val="none"/>
          </c:marker>
          <c:xVal>
            <c:numRef>
              <c:f>'_MB Analysis'!$AB$222:$AC$222</c:f>
              <c:numCache>
                <c:formatCode>General</c:formatCode>
                <c:ptCount val="2"/>
                <c:pt idx="0">
                  <c:v>#N/A</c:v>
                </c:pt>
                <c:pt idx="1">
                  <c:v>#N/A</c:v>
                </c:pt>
              </c:numCache>
            </c:numRef>
          </c:xVal>
          <c:yVal>
            <c:numRef>
              <c:f>'_MB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9D9F-430C-8150-B7C6CDB9D760}"/>
            </c:ext>
          </c:extLst>
        </c:ser>
        <c:ser>
          <c:idx val="14"/>
          <c:order val="84"/>
          <c:tx>
            <c:strRef>
              <c:f>'_MB Analysis'!$AA$223</c:f>
              <c:strCache>
                <c:ptCount val="1"/>
              </c:strCache>
            </c:strRef>
          </c:tx>
          <c:spPr>
            <a:ln w="12700">
              <a:solidFill>
                <a:srgbClr val="000000"/>
              </a:solidFill>
            </a:ln>
          </c:spPr>
          <c:marker>
            <c:symbol val="none"/>
          </c:marker>
          <c:xVal>
            <c:numRef>
              <c:f>'_MB Analysis'!$AB$223:$AC$223</c:f>
              <c:numCache>
                <c:formatCode>General</c:formatCode>
                <c:ptCount val="2"/>
                <c:pt idx="0">
                  <c:v>#N/A</c:v>
                </c:pt>
                <c:pt idx="1">
                  <c:v>#N/A</c:v>
                </c:pt>
              </c:numCache>
            </c:numRef>
          </c:xVal>
          <c:yVal>
            <c:numRef>
              <c:f>'_MB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9D9F-430C-8150-B7C6CDB9D760}"/>
            </c:ext>
          </c:extLst>
        </c:ser>
        <c:ser>
          <c:idx val="15"/>
          <c:order val="85"/>
          <c:tx>
            <c:strRef>
              <c:f>'_MB Analysis'!$AA$224</c:f>
              <c:strCache>
                <c:ptCount val="1"/>
              </c:strCache>
            </c:strRef>
          </c:tx>
          <c:spPr>
            <a:ln w="12700">
              <a:solidFill>
                <a:srgbClr val="000000"/>
              </a:solidFill>
            </a:ln>
          </c:spPr>
          <c:marker>
            <c:symbol val="none"/>
          </c:marker>
          <c:xVal>
            <c:numRef>
              <c:f>'_MB Analysis'!$AB$224:$AC$224</c:f>
              <c:numCache>
                <c:formatCode>General</c:formatCode>
                <c:ptCount val="2"/>
                <c:pt idx="0">
                  <c:v>#N/A</c:v>
                </c:pt>
                <c:pt idx="1">
                  <c:v>#N/A</c:v>
                </c:pt>
              </c:numCache>
            </c:numRef>
          </c:xVal>
          <c:yVal>
            <c:numRef>
              <c:f>'_MB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9D9F-430C-8150-B7C6CDB9D760}"/>
            </c:ext>
          </c:extLst>
        </c:ser>
        <c:ser>
          <c:idx val="16"/>
          <c:order val="86"/>
          <c:tx>
            <c:strRef>
              <c:f>'_MB Analysis'!$AA$225</c:f>
              <c:strCache>
                <c:ptCount val="1"/>
              </c:strCache>
            </c:strRef>
          </c:tx>
          <c:spPr>
            <a:ln w="12700">
              <a:solidFill>
                <a:srgbClr val="000000"/>
              </a:solidFill>
            </a:ln>
          </c:spPr>
          <c:marker>
            <c:symbol val="none"/>
          </c:marker>
          <c:xVal>
            <c:numRef>
              <c:f>'_MB Analysis'!$AB$225:$AC$225</c:f>
              <c:numCache>
                <c:formatCode>General</c:formatCode>
                <c:ptCount val="2"/>
                <c:pt idx="0">
                  <c:v>#N/A</c:v>
                </c:pt>
                <c:pt idx="1">
                  <c:v>#N/A</c:v>
                </c:pt>
              </c:numCache>
            </c:numRef>
          </c:xVal>
          <c:yVal>
            <c:numRef>
              <c:f>'_MB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9D9F-430C-8150-B7C6CDB9D760}"/>
            </c:ext>
          </c:extLst>
        </c:ser>
        <c:ser>
          <c:idx val="17"/>
          <c:order val="87"/>
          <c:tx>
            <c:strRef>
              <c:f>'_MB Analysis'!$AA$226</c:f>
              <c:strCache>
                <c:ptCount val="1"/>
              </c:strCache>
            </c:strRef>
          </c:tx>
          <c:spPr>
            <a:ln w="12700">
              <a:solidFill>
                <a:srgbClr val="000000"/>
              </a:solidFill>
            </a:ln>
          </c:spPr>
          <c:marker>
            <c:symbol val="none"/>
          </c:marker>
          <c:xVal>
            <c:numRef>
              <c:f>'_MB Analysis'!$AB$226:$AC$226</c:f>
              <c:numCache>
                <c:formatCode>General</c:formatCode>
                <c:ptCount val="2"/>
                <c:pt idx="0">
                  <c:v>#N/A</c:v>
                </c:pt>
                <c:pt idx="1">
                  <c:v>#N/A</c:v>
                </c:pt>
              </c:numCache>
            </c:numRef>
          </c:xVal>
          <c:yVal>
            <c:numRef>
              <c:f>'_MB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9D9F-430C-8150-B7C6CDB9D760}"/>
            </c:ext>
          </c:extLst>
        </c:ser>
        <c:ser>
          <c:idx val="18"/>
          <c:order val="88"/>
          <c:tx>
            <c:strRef>
              <c:f>'_MB Analysis'!$AA$227</c:f>
              <c:strCache>
                <c:ptCount val="1"/>
              </c:strCache>
            </c:strRef>
          </c:tx>
          <c:spPr>
            <a:ln w="12700">
              <a:solidFill>
                <a:srgbClr val="000000"/>
              </a:solidFill>
            </a:ln>
          </c:spPr>
          <c:marker>
            <c:symbol val="none"/>
          </c:marker>
          <c:xVal>
            <c:numRef>
              <c:f>'_MB Analysis'!$AB$227:$AC$227</c:f>
              <c:numCache>
                <c:formatCode>General</c:formatCode>
                <c:ptCount val="2"/>
                <c:pt idx="0">
                  <c:v>#N/A</c:v>
                </c:pt>
                <c:pt idx="1">
                  <c:v>#N/A</c:v>
                </c:pt>
              </c:numCache>
            </c:numRef>
          </c:xVal>
          <c:yVal>
            <c:numRef>
              <c:f>'_MB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9D9F-430C-8150-B7C6CDB9D760}"/>
            </c:ext>
          </c:extLst>
        </c:ser>
        <c:ser>
          <c:idx val="19"/>
          <c:order val="89"/>
          <c:tx>
            <c:strRef>
              <c:f>'_MB Analysis'!$AA$228</c:f>
              <c:strCache>
                <c:ptCount val="1"/>
              </c:strCache>
            </c:strRef>
          </c:tx>
          <c:spPr>
            <a:ln w="12700">
              <a:solidFill>
                <a:srgbClr val="000000"/>
              </a:solidFill>
            </a:ln>
          </c:spPr>
          <c:marker>
            <c:symbol val="none"/>
          </c:marker>
          <c:xVal>
            <c:numRef>
              <c:f>'_MB Analysis'!$AB$228:$AC$228</c:f>
              <c:numCache>
                <c:formatCode>General</c:formatCode>
                <c:ptCount val="2"/>
                <c:pt idx="0">
                  <c:v>#N/A</c:v>
                </c:pt>
                <c:pt idx="1">
                  <c:v>#N/A</c:v>
                </c:pt>
              </c:numCache>
            </c:numRef>
          </c:xVal>
          <c:yVal>
            <c:numRef>
              <c:f>'_MB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9D9F-430C-8150-B7C6CDB9D760}"/>
            </c:ext>
          </c:extLst>
        </c:ser>
        <c:ser>
          <c:idx val="20"/>
          <c:order val="90"/>
          <c:tx>
            <c:strRef>
              <c:f>'_MB Analysis'!$AA$229</c:f>
              <c:strCache>
                <c:ptCount val="1"/>
              </c:strCache>
            </c:strRef>
          </c:tx>
          <c:spPr>
            <a:ln w="12700">
              <a:solidFill>
                <a:srgbClr val="000000"/>
              </a:solidFill>
            </a:ln>
          </c:spPr>
          <c:marker>
            <c:symbol val="none"/>
          </c:marker>
          <c:xVal>
            <c:numRef>
              <c:f>'_MB Analysis'!$AB$229:$AC$229</c:f>
              <c:numCache>
                <c:formatCode>General</c:formatCode>
                <c:ptCount val="2"/>
                <c:pt idx="0">
                  <c:v>#N/A</c:v>
                </c:pt>
                <c:pt idx="1">
                  <c:v>#N/A</c:v>
                </c:pt>
              </c:numCache>
            </c:numRef>
          </c:xVal>
          <c:yVal>
            <c:numRef>
              <c:f>'_MB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9D9F-430C-8150-B7C6CDB9D760}"/>
            </c:ext>
          </c:extLst>
        </c:ser>
        <c:ser>
          <c:idx val="21"/>
          <c:order val="91"/>
          <c:tx>
            <c:strRef>
              <c:f>'_MB Analysis'!$AA$230</c:f>
              <c:strCache>
                <c:ptCount val="1"/>
              </c:strCache>
            </c:strRef>
          </c:tx>
          <c:spPr>
            <a:ln w="12700">
              <a:solidFill>
                <a:srgbClr val="000000"/>
              </a:solidFill>
            </a:ln>
          </c:spPr>
          <c:marker>
            <c:symbol val="none"/>
          </c:marker>
          <c:xVal>
            <c:numRef>
              <c:f>'_MB Analysis'!$AB$230:$AC$230</c:f>
              <c:numCache>
                <c:formatCode>General</c:formatCode>
                <c:ptCount val="2"/>
                <c:pt idx="0">
                  <c:v>#N/A</c:v>
                </c:pt>
                <c:pt idx="1">
                  <c:v>#N/A</c:v>
                </c:pt>
              </c:numCache>
            </c:numRef>
          </c:xVal>
          <c:yVal>
            <c:numRef>
              <c:f>'_MB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9D9F-430C-8150-B7C6CDB9D760}"/>
            </c:ext>
          </c:extLst>
        </c:ser>
        <c:ser>
          <c:idx val="22"/>
          <c:order val="92"/>
          <c:tx>
            <c:strRef>
              <c:f>'_MB Analysis'!$AA$231</c:f>
              <c:strCache>
                <c:ptCount val="1"/>
              </c:strCache>
            </c:strRef>
          </c:tx>
          <c:spPr>
            <a:ln w="12700">
              <a:solidFill>
                <a:srgbClr val="000000"/>
              </a:solidFill>
            </a:ln>
          </c:spPr>
          <c:marker>
            <c:symbol val="none"/>
          </c:marker>
          <c:xVal>
            <c:numRef>
              <c:f>'_MB Analysis'!$AB$231:$AC$231</c:f>
              <c:numCache>
                <c:formatCode>General</c:formatCode>
                <c:ptCount val="2"/>
                <c:pt idx="0">
                  <c:v>#N/A</c:v>
                </c:pt>
                <c:pt idx="1">
                  <c:v>#N/A</c:v>
                </c:pt>
              </c:numCache>
            </c:numRef>
          </c:xVal>
          <c:yVal>
            <c:numRef>
              <c:f>'_MB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9D9F-430C-8150-B7C6CDB9D760}"/>
            </c:ext>
          </c:extLst>
        </c:ser>
        <c:ser>
          <c:idx val="23"/>
          <c:order val="93"/>
          <c:tx>
            <c:strRef>
              <c:f>'_MB Analysis'!$AA$232</c:f>
              <c:strCache>
                <c:ptCount val="1"/>
              </c:strCache>
            </c:strRef>
          </c:tx>
          <c:spPr>
            <a:ln w="12700">
              <a:solidFill>
                <a:srgbClr val="000000"/>
              </a:solidFill>
            </a:ln>
          </c:spPr>
          <c:marker>
            <c:symbol val="none"/>
          </c:marker>
          <c:xVal>
            <c:numRef>
              <c:f>'_MB Analysis'!$AB$232:$AC$232</c:f>
              <c:numCache>
                <c:formatCode>General</c:formatCode>
                <c:ptCount val="2"/>
                <c:pt idx="0">
                  <c:v>#N/A</c:v>
                </c:pt>
                <c:pt idx="1">
                  <c:v>#N/A</c:v>
                </c:pt>
              </c:numCache>
            </c:numRef>
          </c:xVal>
          <c:yVal>
            <c:numRef>
              <c:f>'_MB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9D9F-430C-8150-B7C6CDB9D760}"/>
            </c:ext>
          </c:extLst>
        </c:ser>
        <c:ser>
          <c:idx val="24"/>
          <c:order val="94"/>
          <c:tx>
            <c:strRef>
              <c:f>'_MB Analysis'!$AA$233</c:f>
              <c:strCache>
                <c:ptCount val="1"/>
              </c:strCache>
            </c:strRef>
          </c:tx>
          <c:spPr>
            <a:ln w="12700">
              <a:solidFill>
                <a:srgbClr val="000000"/>
              </a:solidFill>
            </a:ln>
          </c:spPr>
          <c:marker>
            <c:symbol val="none"/>
          </c:marker>
          <c:xVal>
            <c:numRef>
              <c:f>'_MB Analysis'!$AB$233:$AC$233</c:f>
              <c:numCache>
                <c:formatCode>General</c:formatCode>
                <c:ptCount val="2"/>
                <c:pt idx="0">
                  <c:v>#N/A</c:v>
                </c:pt>
                <c:pt idx="1">
                  <c:v>#N/A</c:v>
                </c:pt>
              </c:numCache>
            </c:numRef>
          </c:xVal>
          <c:yVal>
            <c:numRef>
              <c:f>'_MB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9D9F-430C-8150-B7C6CDB9D760}"/>
            </c:ext>
          </c:extLst>
        </c:ser>
        <c:ser>
          <c:idx val="25"/>
          <c:order val="95"/>
          <c:tx>
            <c:strRef>
              <c:f>'_MB Analysis'!$AA$234</c:f>
              <c:strCache>
                <c:ptCount val="1"/>
              </c:strCache>
            </c:strRef>
          </c:tx>
          <c:spPr>
            <a:ln w="12700">
              <a:solidFill>
                <a:srgbClr val="000000"/>
              </a:solidFill>
            </a:ln>
          </c:spPr>
          <c:marker>
            <c:symbol val="none"/>
          </c:marker>
          <c:xVal>
            <c:numRef>
              <c:f>'_MB Analysis'!$AB$234:$AC$234</c:f>
              <c:numCache>
                <c:formatCode>General</c:formatCode>
                <c:ptCount val="2"/>
                <c:pt idx="0">
                  <c:v>#N/A</c:v>
                </c:pt>
                <c:pt idx="1">
                  <c:v>#N/A</c:v>
                </c:pt>
              </c:numCache>
            </c:numRef>
          </c:xVal>
          <c:yVal>
            <c:numRef>
              <c:f>'_MB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9D9F-430C-8150-B7C6CDB9D760}"/>
            </c:ext>
          </c:extLst>
        </c:ser>
        <c:ser>
          <c:idx val="26"/>
          <c:order val="96"/>
          <c:tx>
            <c:strRef>
              <c:f>'_MB Analysis'!$AA$235</c:f>
              <c:strCache>
                <c:ptCount val="1"/>
              </c:strCache>
            </c:strRef>
          </c:tx>
          <c:spPr>
            <a:ln w="12700">
              <a:solidFill>
                <a:srgbClr val="000000"/>
              </a:solidFill>
            </a:ln>
          </c:spPr>
          <c:marker>
            <c:symbol val="none"/>
          </c:marker>
          <c:xVal>
            <c:numRef>
              <c:f>'_MB Analysis'!$AB$235:$AC$235</c:f>
              <c:numCache>
                <c:formatCode>General</c:formatCode>
                <c:ptCount val="2"/>
                <c:pt idx="0">
                  <c:v>#N/A</c:v>
                </c:pt>
                <c:pt idx="1">
                  <c:v>#N/A</c:v>
                </c:pt>
              </c:numCache>
            </c:numRef>
          </c:xVal>
          <c:yVal>
            <c:numRef>
              <c:f>'_MB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9D9F-430C-8150-B7C6CDB9D760}"/>
            </c:ext>
          </c:extLst>
        </c:ser>
        <c:ser>
          <c:idx val="27"/>
          <c:order val="97"/>
          <c:tx>
            <c:strRef>
              <c:f>'_MB Analysis'!$AA$236</c:f>
              <c:strCache>
                <c:ptCount val="1"/>
              </c:strCache>
            </c:strRef>
          </c:tx>
          <c:spPr>
            <a:ln w="12700">
              <a:solidFill>
                <a:srgbClr val="000000"/>
              </a:solidFill>
            </a:ln>
          </c:spPr>
          <c:marker>
            <c:symbol val="none"/>
          </c:marker>
          <c:xVal>
            <c:numRef>
              <c:f>'_MB Analysis'!$AB$236:$AC$236</c:f>
              <c:numCache>
                <c:formatCode>General</c:formatCode>
                <c:ptCount val="2"/>
                <c:pt idx="0">
                  <c:v>#N/A</c:v>
                </c:pt>
                <c:pt idx="1">
                  <c:v>#N/A</c:v>
                </c:pt>
              </c:numCache>
            </c:numRef>
          </c:xVal>
          <c:yVal>
            <c:numRef>
              <c:f>'_MB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9D9F-430C-8150-B7C6CDB9D760}"/>
            </c:ext>
          </c:extLst>
        </c:ser>
        <c:ser>
          <c:idx val="28"/>
          <c:order val="98"/>
          <c:tx>
            <c:strRef>
              <c:f>'_MB Analysis'!$AA$237</c:f>
              <c:strCache>
                <c:ptCount val="1"/>
              </c:strCache>
            </c:strRef>
          </c:tx>
          <c:spPr>
            <a:ln w="12700">
              <a:solidFill>
                <a:srgbClr val="000000"/>
              </a:solidFill>
            </a:ln>
          </c:spPr>
          <c:marker>
            <c:symbol val="none"/>
          </c:marker>
          <c:xVal>
            <c:numRef>
              <c:f>'_MB Analysis'!$AB$237:$AC$237</c:f>
              <c:numCache>
                <c:formatCode>General</c:formatCode>
                <c:ptCount val="2"/>
                <c:pt idx="0">
                  <c:v>#N/A</c:v>
                </c:pt>
                <c:pt idx="1">
                  <c:v>#N/A</c:v>
                </c:pt>
              </c:numCache>
            </c:numRef>
          </c:xVal>
          <c:yVal>
            <c:numRef>
              <c:f>'_MB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9D9F-430C-8150-B7C6CDB9D760}"/>
            </c:ext>
          </c:extLst>
        </c:ser>
        <c:ser>
          <c:idx val="29"/>
          <c:order val="99"/>
          <c:tx>
            <c:strRef>
              <c:f>'_MB Analysis'!$AA$238</c:f>
              <c:strCache>
                <c:ptCount val="1"/>
              </c:strCache>
            </c:strRef>
          </c:tx>
          <c:spPr>
            <a:ln w="12700">
              <a:solidFill>
                <a:srgbClr val="000000"/>
              </a:solidFill>
            </a:ln>
          </c:spPr>
          <c:marker>
            <c:symbol val="none"/>
          </c:marker>
          <c:xVal>
            <c:numRef>
              <c:f>'_MB Analysis'!$AB$238:$AC$238</c:f>
              <c:numCache>
                <c:formatCode>General</c:formatCode>
                <c:ptCount val="2"/>
                <c:pt idx="0">
                  <c:v>#N/A</c:v>
                </c:pt>
                <c:pt idx="1">
                  <c:v>#N/A</c:v>
                </c:pt>
              </c:numCache>
            </c:numRef>
          </c:xVal>
          <c:yVal>
            <c:numRef>
              <c:f>'_MB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9D9F-430C-8150-B7C6CDB9D760}"/>
            </c:ext>
          </c:extLst>
        </c:ser>
        <c:ser>
          <c:idx val="30"/>
          <c:order val="100"/>
          <c:tx>
            <c:strRef>
              <c:f>'_MB Analysis'!$AA$239</c:f>
              <c:strCache>
                <c:ptCount val="1"/>
              </c:strCache>
            </c:strRef>
          </c:tx>
          <c:spPr>
            <a:ln w="12700">
              <a:solidFill>
                <a:srgbClr val="000000"/>
              </a:solidFill>
            </a:ln>
          </c:spPr>
          <c:marker>
            <c:symbol val="none"/>
          </c:marker>
          <c:xVal>
            <c:numRef>
              <c:f>'_MB Analysis'!$AB$239:$AC$239</c:f>
              <c:numCache>
                <c:formatCode>General</c:formatCode>
                <c:ptCount val="2"/>
                <c:pt idx="0">
                  <c:v>#N/A</c:v>
                </c:pt>
                <c:pt idx="1">
                  <c:v>#N/A</c:v>
                </c:pt>
              </c:numCache>
            </c:numRef>
          </c:xVal>
          <c:yVal>
            <c:numRef>
              <c:f>'_MB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9D9F-430C-8150-B7C6CDB9D760}"/>
            </c:ext>
          </c:extLst>
        </c:ser>
        <c:ser>
          <c:idx val="31"/>
          <c:order val="101"/>
          <c:tx>
            <c:strRef>
              <c:f>'_MB Analysis'!$AA$240</c:f>
              <c:strCache>
                <c:ptCount val="1"/>
              </c:strCache>
            </c:strRef>
          </c:tx>
          <c:spPr>
            <a:ln w="12700">
              <a:solidFill>
                <a:srgbClr val="000000"/>
              </a:solidFill>
            </a:ln>
          </c:spPr>
          <c:marker>
            <c:symbol val="none"/>
          </c:marker>
          <c:xVal>
            <c:numRef>
              <c:f>'_MB Analysis'!$AB$240:$AC$240</c:f>
              <c:numCache>
                <c:formatCode>General</c:formatCode>
                <c:ptCount val="2"/>
                <c:pt idx="0">
                  <c:v>#N/A</c:v>
                </c:pt>
                <c:pt idx="1">
                  <c:v>#N/A</c:v>
                </c:pt>
              </c:numCache>
            </c:numRef>
          </c:xVal>
          <c:yVal>
            <c:numRef>
              <c:f>'_MB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9D9F-430C-8150-B7C6CDB9D760}"/>
            </c:ext>
          </c:extLst>
        </c:ser>
        <c:ser>
          <c:idx val="32"/>
          <c:order val="102"/>
          <c:tx>
            <c:strRef>
              <c:f>'_MB Analysis'!$AA$241</c:f>
              <c:strCache>
                <c:ptCount val="1"/>
              </c:strCache>
            </c:strRef>
          </c:tx>
          <c:spPr>
            <a:ln w="12700">
              <a:solidFill>
                <a:srgbClr val="000000"/>
              </a:solidFill>
            </a:ln>
          </c:spPr>
          <c:marker>
            <c:symbol val="none"/>
          </c:marker>
          <c:xVal>
            <c:numRef>
              <c:f>'_MB Analysis'!$AB$241:$AC$241</c:f>
              <c:numCache>
                <c:formatCode>General</c:formatCode>
                <c:ptCount val="2"/>
                <c:pt idx="0">
                  <c:v>#N/A</c:v>
                </c:pt>
                <c:pt idx="1">
                  <c:v>#N/A</c:v>
                </c:pt>
              </c:numCache>
            </c:numRef>
          </c:xVal>
          <c:yVal>
            <c:numRef>
              <c:f>'_MB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9D9F-430C-8150-B7C6CDB9D760}"/>
            </c:ext>
          </c:extLst>
        </c:ser>
        <c:ser>
          <c:idx val="33"/>
          <c:order val="103"/>
          <c:tx>
            <c:strRef>
              <c:f>'_MB Analysis'!$AA$242</c:f>
              <c:strCache>
                <c:ptCount val="1"/>
              </c:strCache>
            </c:strRef>
          </c:tx>
          <c:spPr>
            <a:ln w="12700">
              <a:solidFill>
                <a:srgbClr val="000000"/>
              </a:solidFill>
            </a:ln>
          </c:spPr>
          <c:marker>
            <c:symbol val="none"/>
          </c:marker>
          <c:xVal>
            <c:numRef>
              <c:f>'_MB Analysis'!$AB$242:$AC$242</c:f>
              <c:numCache>
                <c:formatCode>General</c:formatCode>
                <c:ptCount val="2"/>
                <c:pt idx="0">
                  <c:v>#N/A</c:v>
                </c:pt>
                <c:pt idx="1">
                  <c:v>#N/A</c:v>
                </c:pt>
              </c:numCache>
            </c:numRef>
          </c:xVal>
          <c:yVal>
            <c:numRef>
              <c:f>'_MB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9D9F-430C-8150-B7C6CDB9D760}"/>
            </c:ext>
          </c:extLst>
        </c:ser>
        <c:ser>
          <c:idx val="34"/>
          <c:order val="104"/>
          <c:tx>
            <c:strRef>
              <c:f>'_MB Analysis'!$AA$243</c:f>
              <c:strCache>
                <c:ptCount val="1"/>
              </c:strCache>
            </c:strRef>
          </c:tx>
          <c:spPr>
            <a:ln w="12700">
              <a:solidFill>
                <a:srgbClr val="000000"/>
              </a:solidFill>
            </a:ln>
          </c:spPr>
          <c:marker>
            <c:symbol val="none"/>
          </c:marker>
          <c:xVal>
            <c:numRef>
              <c:f>'_MB Analysis'!$AB$243:$AC$243</c:f>
              <c:numCache>
                <c:formatCode>General</c:formatCode>
                <c:ptCount val="2"/>
                <c:pt idx="0">
                  <c:v>#N/A</c:v>
                </c:pt>
                <c:pt idx="1">
                  <c:v>#N/A</c:v>
                </c:pt>
              </c:numCache>
            </c:numRef>
          </c:xVal>
          <c:yVal>
            <c:numRef>
              <c:f>'_MB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9D9F-430C-8150-B7C6CDB9D760}"/>
            </c:ext>
          </c:extLst>
        </c:ser>
        <c:ser>
          <c:idx val="35"/>
          <c:order val="105"/>
          <c:tx>
            <c:strRef>
              <c:f>'_MB Analysis'!$AA$244</c:f>
              <c:strCache>
                <c:ptCount val="1"/>
              </c:strCache>
            </c:strRef>
          </c:tx>
          <c:spPr>
            <a:ln w="12700">
              <a:solidFill>
                <a:srgbClr val="000000"/>
              </a:solidFill>
            </a:ln>
          </c:spPr>
          <c:marker>
            <c:symbol val="none"/>
          </c:marker>
          <c:xVal>
            <c:numRef>
              <c:f>'_MB Analysis'!$AB$244:$AC$244</c:f>
              <c:numCache>
                <c:formatCode>General</c:formatCode>
                <c:ptCount val="2"/>
                <c:pt idx="0">
                  <c:v>#N/A</c:v>
                </c:pt>
                <c:pt idx="1">
                  <c:v>#N/A</c:v>
                </c:pt>
              </c:numCache>
            </c:numRef>
          </c:xVal>
          <c:yVal>
            <c:numRef>
              <c:f>'_MB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9D9F-430C-8150-B7C6CDB9D760}"/>
            </c:ext>
          </c:extLst>
        </c:ser>
        <c:ser>
          <c:idx val="36"/>
          <c:order val="106"/>
          <c:tx>
            <c:strRef>
              <c:f>'_MB Analysis'!$AA$245</c:f>
              <c:strCache>
                <c:ptCount val="1"/>
              </c:strCache>
            </c:strRef>
          </c:tx>
          <c:spPr>
            <a:ln w="12700">
              <a:solidFill>
                <a:srgbClr val="000000"/>
              </a:solidFill>
            </a:ln>
          </c:spPr>
          <c:marker>
            <c:symbol val="none"/>
          </c:marker>
          <c:xVal>
            <c:numRef>
              <c:f>'_MB Analysis'!$AB$245:$AC$245</c:f>
              <c:numCache>
                <c:formatCode>General</c:formatCode>
                <c:ptCount val="2"/>
                <c:pt idx="0">
                  <c:v>#N/A</c:v>
                </c:pt>
                <c:pt idx="1">
                  <c:v>#N/A</c:v>
                </c:pt>
              </c:numCache>
            </c:numRef>
          </c:xVal>
          <c:yVal>
            <c:numRef>
              <c:f>'_MB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9D9F-430C-8150-B7C6CDB9D760}"/>
            </c:ext>
          </c:extLst>
        </c:ser>
        <c:ser>
          <c:idx val="37"/>
          <c:order val="107"/>
          <c:tx>
            <c:strRef>
              <c:f>'_MB Analysis'!$AA$246</c:f>
              <c:strCache>
                <c:ptCount val="1"/>
              </c:strCache>
            </c:strRef>
          </c:tx>
          <c:spPr>
            <a:ln w="12700">
              <a:solidFill>
                <a:srgbClr val="000000"/>
              </a:solidFill>
            </a:ln>
          </c:spPr>
          <c:marker>
            <c:symbol val="none"/>
          </c:marker>
          <c:xVal>
            <c:numRef>
              <c:f>'_MB Analysis'!$AB$246:$AC$246</c:f>
              <c:numCache>
                <c:formatCode>General</c:formatCode>
                <c:ptCount val="2"/>
                <c:pt idx="0">
                  <c:v>#N/A</c:v>
                </c:pt>
                <c:pt idx="1">
                  <c:v>#N/A</c:v>
                </c:pt>
              </c:numCache>
            </c:numRef>
          </c:xVal>
          <c:yVal>
            <c:numRef>
              <c:f>'_MB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9D9F-430C-8150-B7C6CDB9D760}"/>
            </c:ext>
          </c:extLst>
        </c:ser>
        <c:ser>
          <c:idx val="38"/>
          <c:order val="108"/>
          <c:tx>
            <c:strRef>
              <c:f>'_MB Analysis'!$AA$247</c:f>
              <c:strCache>
                <c:ptCount val="1"/>
              </c:strCache>
            </c:strRef>
          </c:tx>
          <c:spPr>
            <a:ln w="12700">
              <a:solidFill>
                <a:srgbClr val="000000"/>
              </a:solidFill>
            </a:ln>
          </c:spPr>
          <c:marker>
            <c:symbol val="none"/>
          </c:marker>
          <c:xVal>
            <c:numRef>
              <c:f>'_MB Analysis'!$AB$247:$AC$247</c:f>
              <c:numCache>
                <c:formatCode>General</c:formatCode>
                <c:ptCount val="2"/>
                <c:pt idx="0">
                  <c:v>#N/A</c:v>
                </c:pt>
                <c:pt idx="1">
                  <c:v>#N/A</c:v>
                </c:pt>
              </c:numCache>
            </c:numRef>
          </c:xVal>
          <c:yVal>
            <c:numRef>
              <c:f>'_MB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9D9F-430C-8150-B7C6CDB9D760}"/>
            </c:ext>
          </c:extLst>
        </c:ser>
        <c:ser>
          <c:idx val="39"/>
          <c:order val="109"/>
          <c:tx>
            <c:strRef>
              <c:f>'_MB Analysis'!$AA$248</c:f>
              <c:strCache>
                <c:ptCount val="1"/>
              </c:strCache>
            </c:strRef>
          </c:tx>
          <c:spPr>
            <a:ln w="12700">
              <a:solidFill>
                <a:srgbClr val="000000"/>
              </a:solidFill>
            </a:ln>
          </c:spPr>
          <c:marker>
            <c:symbol val="none"/>
          </c:marker>
          <c:xVal>
            <c:numRef>
              <c:f>'_MB Analysis'!$AB$248:$AC$248</c:f>
              <c:numCache>
                <c:formatCode>General</c:formatCode>
                <c:ptCount val="2"/>
                <c:pt idx="0">
                  <c:v>#N/A</c:v>
                </c:pt>
                <c:pt idx="1">
                  <c:v>#N/A</c:v>
                </c:pt>
              </c:numCache>
            </c:numRef>
          </c:xVal>
          <c:yVal>
            <c:numRef>
              <c:f>'_MB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9D9F-430C-8150-B7C6CDB9D760}"/>
            </c:ext>
          </c:extLst>
        </c:ser>
        <c:ser>
          <c:idx val="40"/>
          <c:order val="110"/>
          <c:tx>
            <c:strRef>
              <c:f>'_MB Analysis'!$AA$249</c:f>
              <c:strCache>
                <c:ptCount val="1"/>
              </c:strCache>
            </c:strRef>
          </c:tx>
          <c:spPr>
            <a:ln w="12700">
              <a:solidFill>
                <a:srgbClr val="000000"/>
              </a:solidFill>
            </a:ln>
          </c:spPr>
          <c:marker>
            <c:symbol val="none"/>
          </c:marker>
          <c:xVal>
            <c:numRef>
              <c:f>'_MB Analysis'!$AB$249:$AC$249</c:f>
              <c:numCache>
                <c:formatCode>General</c:formatCode>
                <c:ptCount val="2"/>
                <c:pt idx="0">
                  <c:v>#N/A</c:v>
                </c:pt>
                <c:pt idx="1">
                  <c:v>#N/A</c:v>
                </c:pt>
              </c:numCache>
            </c:numRef>
          </c:xVal>
          <c:yVal>
            <c:numRef>
              <c:f>'_MB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9D9F-430C-8150-B7C6CDB9D760}"/>
            </c:ext>
          </c:extLst>
        </c:ser>
        <c:ser>
          <c:idx val="41"/>
          <c:order val="111"/>
          <c:tx>
            <c:strRef>
              <c:f>'_MB Analysis'!$AA$250</c:f>
              <c:strCache>
                <c:ptCount val="1"/>
              </c:strCache>
            </c:strRef>
          </c:tx>
          <c:spPr>
            <a:ln w="12700">
              <a:solidFill>
                <a:srgbClr val="000000"/>
              </a:solidFill>
            </a:ln>
          </c:spPr>
          <c:marker>
            <c:symbol val="none"/>
          </c:marker>
          <c:xVal>
            <c:numRef>
              <c:f>'_MB Analysis'!$AB$250:$AC$250</c:f>
              <c:numCache>
                <c:formatCode>General</c:formatCode>
                <c:ptCount val="2"/>
                <c:pt idx="0">
                  <c:v>#N/A</c:v>
                </c:pt>
                <c:pt idx="1">
                  <c:v>#N/A</c:v>
                </c:pt>
              </c:numCache>
            </c:numRef>
          </c:xVal>
          <c:yVal>
            <c:numRef>
              <c:f>'_MB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9D9F-430C-8150-B7C6CDB9D760}"/>
            </c:ext>
          </c:extLst>
        </c:ser>
        <c:ser>
          <c:idx val="42"/>
          <c:order val="112"/>
          <c:tx>
            <c:strRef>
              <c:f>'_MB Analysis'!$AA$251</c:f>
              <c:strCache>
                <c:ptCount val="1"/>
              </c:strCache>
            </c:strRef>
          </c:tx>
          <c:spPr>
            <a:ln w="12700">
              <a:solidFill>
                <a:srgbClr val="000000"/>
              </a:solidFill>
            </a:ln>
          </c:spPr>
          <c:marker>
            <c:symbol val="none"/>
          </c:marker>
          <c:xVal>
            <c:numRef>
              <c:f>'_MB Analysis'!$AB$251:$AC$251</c:f>
              <c:numCache>
                <c:formatCode>General</c:formatCode>
                <c:ptCount val="2"/>
                <c:pt idx="0">
                  <c:v>#N/A</c:v>
                </c:pt>
                <c:pt idx="1">
                  <c:v>#N/A</c:v>
                </c:pt>
              </c:numCache>
            </c:numRef>
          </c:xVal>
          <c:yVal>
            <c:numRef>
              <c:f>'_MB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9D9F-430C-8150-B7C6CDB9D760}"/>
            </c:ext>
          </c:extLst>
        </c:ser>
        <c:ser>
          <c:idx val="43"/>
          <c:order val="113"/>
          <c:tx>
            <c:strRef>
              <c:f>'_MB Analysis'!$AA$252</c:f>
              <c:strCache>
                <c:ptCount val="1"/>
              </c:strCache>
            </c:strRef>
          </c:tx>
          <c:spPr>
            <a:ln w="12700">
              <a:solidFill>
                <a:srgbClr val="000000"/>
              </a:solidFill>
            </a:ln>
          </c:spPr>
          <c:marker>
            <c:symbol val="none"/>
          </c:marker>
          <c:xVal>
            <c:numRef>
              <c:f>'_MB Analysis'!$AB$252:$AC$252</c:f>
              <c:numCache>
                <c:formatCode>General</c:formatCode>
                <c:ptCount val="2"/>
                <c:pt idx="0">
                  <c:v>#N/A</c:v>
                </c:pt>
                <c:pt idx="1">
                  <c:v>#N/A</c:v>
                </c:pt>
              </c:numCache>
            </c:numRef>
          </c:xVal>
          <c:yVal>
            <c:numRef>
              <c:f>'_MB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9D9F-430C-8150-B7C6CDB9D760}"/>
            </c:ext>
          </c:extLst>
        </c:ser>
        <c:ser>
          <c:idx val="44"/>
          <c:order val="114"/>
          <c:tx>
            <c:strRef>
              <c:f>'_MB Analysis'!$AA$253</c:f>
              <c:strCache>
                <c:ptCount val="1"/>
              </c:strCache>
            </c:strRef>
          </c:tx>
          <c:spPr>
            <a:ln w="12700">
              <a:solidFill>
                <a:srgbClr val="000000"/>
              </a:solidFill>
            </a:ln>
          </c:spPr>
          <c:marker>
            <c:symbol val="none"/>
          </c:marker>
          <c:xVal>
            <c:numRef>
              <c:f>'_MB Analysis'!$AB$253:$AC$253</c:f>
              <c:numCache>
                <c:formatCode>General</c:formatCode>
                <c:ptCount val="2"/>
                <c:pt idx="0">
                  <c:v>#N/A</c:v>
                </c:pt>
                <c:pt idx="1">
                  <c:v>#N/A</c:v>
                </c:pt>
              </c:numCache>
            </c:numRef>
          </c:xVal>
          <c:yVal>
            <c:numRef>
              <c:f>'_MB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9D9F-430C-8150-B7C6CDB9D760}"/>
            </c:ext>
          </c:extLst>
        </c:ser>
        <c:ser>
          <c:idx val="45"/>
          <c:order val="115"/>
          <c:tx>
            <c:strRef>
              <c:f>'_MB Analysis'!$AA$254</c:f>
              <c:strCache>
                <c:ptCount val="1"/>
              </c:strCache>
            </c:strRef>
          </c:tx>
          <c:spPr>
            <a:ln w="12700">
              <a:solidFill>
                <a:srgbClr val="000000"/>
              </a:solidFill>
            </a:ln>
          </c:spPr>
          <c:marker>
            <c:symbol val="none"/>
          </c:marker>
          <c:xVal>
            <c:numRef>
              <c:f>'_MB Analysis'!$AB$254:$AC$254</c:f>
              <c:numCache>
                <c:formatCode>General</c:formatCode>
                <c:ptCount val="2"/>
                <c:pt idx="0">
                  <c:v>#N/A</c:v>
                </c:pt>
                <c:pt idx="1">
                  <c:v>#N/A</c:v>
                </c:pt>
              </c:numCache>
            </c:numRef>
          </c:xVal>
          <c:yVal>
            <c:numRef>
              <c:f>'_MB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9D9F-430C-8150-B7C6CDB9D760}"/>
            </c:ext>
          </c:extLst>
        </c:ser>
        <c:ser>
          <c:idx val="46"/>
          <c:order val="116"/>
          <c:tx>
            <c:strRef>
              <c:f>'_MB Analysis'!$AA$255</c:f>
              <c:strCache>
                <c:ptCount val="1"/>
              </c:strCache>
            </c:strRef>
          </c:tx>
          <c:spPr>
            <a:ln w="12700">
              <a:solidFill>
                <a:srgbClr val="000000"/>
              </a:solidFill>
            </a:ln>
          </c:spPr>
          <c:marker>
            <c:symbol val="none"/>
          </c:marker>
          <c:xVal>
            <c:numRef>
              <c:f>'_MB Analysis'!$AB$255:$AC$255</c:f>
              <c:numCache>
                <c:formatCode>General</c:formatCode>
                <c:ptCount val="2"/>
                <c:pt idx="0">
                  <c:v>#N/A</c:v>
                </c:pt>
                <c:pt idx="1">
                  <c:v>#N/A</c:v>
                </c:pt>
              </c:numCache>
            </c:numRef>
          </c:xVal>
          <c:yVal>
            <c:numRef>
              <c:f>'_MB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9D9F-430C-8150-B7C6CDB9D760}"/>
            </c:ext>
          </c:extLst>
        </c:ser>
        <c:ser>
          <c:idx val="47"/>
          <c:order val="117"/>
          <c:tx>
            <c:strRef>
              <c:f>'_MB Analysis'!$AA$256</c:f>
              <c:strCache>
                <c:ptCount val="1"/>
              </c:strCache>
            </c:strRef>
          </c:tx>
          <c:spPr>
            <a:ln w="12700">
              <a:solidFill>
                <a:srgbClr val="000000"/>
              </a:solidFill>
            </a:ln>
          </c:spPr>
          <c:marker>
            <c:symbol val="none"/>
          </c:marker>
          <c:xVal>
            <c:numRef>
              <c:f>'_MB Analysis'!$AB$256:$AC$256</c:f>
              <c:numCache>
                <c:formatCode>General</c:formatCode>
                <c:ptCount val="2"/>
                <c:pt idx="0">
                  <c:v>#N/A</c:v>
                </c:pt>
                <c:pt idx="1">
                  <c:v>#N/A</c:v>
                </c:pt>
              </c:numCache>
            </c:numRef>
          </c:xVal>
          <c:yVal>
            <c:numRef>
              <c:f>'_MB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9D9F-430C-8150-B7C6CDB9D760}"/>
            </c:ext>
          </c:extLst>
        </c:ser>
        <c:ser>
          <c:idx val="48"/>
          <c:order val="118"/>
          <c:tx>
            <c:strRef>
              <c:f>'_MB Analysis'!$AA$257</c:f>
              <c:strCache>
                <c:ptCount val="1"/>
              </c:strCache>
            </c:strRef>
          </c:tx>
          <c:spPr>
            <a:ln w="12700">
              <a:solidFill>
                <a:srgbClr val="000000"/>
              </a:solidFill>
            </a:ln>
          </c:spPr>
          <c:marker>
            <c:symbol val="none"/>
          </c:marker>
          <c:xVal>
            <c:numRef>
              <c:f>'_MB Analysis'!$AB$257:$AC$257</c:f>
              <c:numCache>
                <c:formatCode>General</c:formatCode>
                <c:ptCount val="2"/>
                <c:pt idx="0">
                  <c:v>#N/A</c:v>
                </c:pt>
                <c:pt idx="1">
                  <c:v>#N/A</c:v>
                </c:pt>
              </c:numCache>
            </c:numRef>
          </c:xVal>
          <c:yVal>
            <c:numRef>
              <c:f>'_MB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9D9F-430C-8150-B7C6CDB9D760}"/>
            </c:ext>
          </c:extLst>
        </c:ser>
        <c:ser>
          <c:idx val="49"/>
          <c:order val="119"/>
          <c:tx>
            <c:strRef>
              <c:f>'_MB Analysis'!$AA$258</c:f>
              <c:strCache>
                <c:ptCount val="1"/>
              </c:strCache>
            </c:strRef>
          </c:tx>
          <c:spPr>
            <a:ln w="12700">
              <a:solidFill>
                <a:srgbClr val="000000"/>
              </a:solidFill>
            </a:ln>
          </c:spPr>
          <c:marker>
            <c:symbol val="none"/>
          </c:marker>
          <c:xVal>
            <c:numRef>
              <c:f>'_MB Analysis'!$AB$258:$AC$258</c:f>
              <c:numCache>
                <c:formatCode>General</c:formatCode>
                <c:ptCount val="2"/>
                <c:pt idx="0">
                  <c:v>#N/A</c:v>
                </c:pt>
                <c:pt idx="1">
                  <c:v>#N/A</c:v>
                </c:pt>
              </c:numCache>
            </c:numRef>
          </c:xVal>
          <c:yVal>
            <c:numRef>
              <c:f>'_MB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9D9F-430C-8150-B7C6CDB9D760}"/>
            </c:ext>
          </c:extLst>
        </c:ser>
        <c:ser>
          <c:idx val="50"/>
          <c:order val="120"/>
          <c:tx>
            <c:strRef>
              <c:f>'_MB Analysis'!$AA$259</c:f>
              <c:strCache>
                <c:ptCount val="1"/>
              </c:strCache>
            </c:strRef>
          </c:tx>
          <c:spPr>
            <a:ln w="12700">
              <a:solidFill>
                <a:srgbClr val="000000"/>
              </a:solidFill>
            </a:ln>
          </c:spPr>
          <c:marker>
            <c:symbol val="none"/>
          </c:marker>
          <c:xVal>
            <c:numRef>
              <c:f>'_MB Analysis'!$AB$259:$AC$259</c:f>
              <c:numCache>
                <c:formatCode>General</c:formatCode>
                <c:ptCount val="2"/>
                <c:pt idx="0">
                  <c:v>#N/A</c:v>
                </c:pt>
                <c:pt idx="1">
                  <c:v>#N/A</c:v>
                </c:pt>
              </c:numCache>
            </c:numRef>
          </c:xVal>
          <c:yVal>
            <c:numRef>
              <c:f>'_MB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9D9F-430C-8150-B7C6CDB9D760}"/>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'_SB Analysis'!$AA$329</c:f>
              <c:strCache>
                <c:ptCount val="1"/>
              </c:strCache>
            </c:strRef>
          </c:tx>
          <c:spPr>
            <a:ln w="12700">
              <a:solidFill>
                <a:srgbClr val="000000"/>
              </a:solidFill>
            </a:ln>
          </c:spPr>
          <c:marker>
            <c:symbol val="none"/>
          </c:marker>
          <c:xVal>
            <c:numRef>
              <c:f>'_SB Analysis'!$AB$329:$AC$329</c:f>
              <c:numCache>
                <c:formatCode>General</c:formatCode>
                <c:ptCount val="2"/>
                <c:pt idx="0">
                  <c:v>#N/A</c:v>
                </c:pt>
                <c:pt idx="1">
                  <c:v>#N/A</c:v>
                </c:pt>
              </c:numCache>
            </c:numRef>
          </c:xVal>
          <c:yVal>
            <c:numRef>
              <c:f>'_SB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F3CD-41FC-B803-CC3D2681A579}"/>
            </c:ext>
          </c:extLst>
        </c:ser>
        <c:ser>
          <c:idx val="119"/>
          <c:order val="1"/>
          <c:tx>
            <c:strRef>
              <c:f>'_SB Analysis'!$AA$328</c:f>
              <c:strCache>
                <c:ptCount val="1"/>
              </c:strCache>
            </c:strRef>
          </c:tx>
          <c:spPr>
            <a:ln w="12700">
              <a:solidFill>
                <a:srgbClr val="000000"/>
              </a:solidFill>
            </a:ln>
          </c:spPr>
          <c:marker>
            <c:symbol val="none"/>
          </c:marker>
          <c:xVal>
            <c:numRef>
              <c:f>'_SB Analysis'!$AB$328:$AC$328</c:f>
              <c:numCache>
                <c:formatCode>General</c:formatCode>
                <c:ptCount val="2"/>
                <c:pt idx="0">
                  <c:v>#N/A</c:v>
                </c:pt>
                <c:pt idx="1">
                  <c:v>#N/A</c:v>
                </c:pt>
              </c:numCache>
            </c:numRef>
          </c:xVal>
          <c:yVal>
            <c:numRef>
              <c:f>'_SB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F3CD-41FC-B803-CC3D2681A579}"/>
            </c:ext>
          </c:extLst>
        </c:ser>
        <c:ser>
          <c:idx val="118"/>
          <c:order val="2"/>
          <c:tx>
            <c:strRef>
              <c:f>'_SB Analysis'!$AA$327</c:f>
              <c:strCache>
                <c:ptCount val="1"/>
              </c:strCache>
            </c:strRef>
          </c:tx>
          <c:spPr>
            <a:ln w="12700">
              <a:solidFill>
                <a:srgbClr val="000000"/>
              </a:solidFill>
            </a:ln>
          </c:spPr>
          <c:marker>
            <c:symbol val="none"/>
          </c:marker>
          <c:xVal>
            <c:numRef>
              <c:f>'_SB Analysis'!$AB$327:$AC$327</c:f>
              <c:numCache>
                <c:formatCode>General</c:formatCode>
                <c:ptCount val="2"/>
                <c:pt idx="0">
                  <c:v>#N/A</c:v>
                </c:pt>
                <c:pt idx="1">
                  <c:v>#N/A</c:v>
                </c:pt>
              </c:numCache>
            </c:numRef>
          </c:xVal>
          <c:yVal>
            <c:numRef>
              <c:f>'_SB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F3CD-41FC-B803-CC3D2681A579}"/>
            </c:ext>
          </c:extLst>
        </c:ser>
        <c:ser>
          <c:idx val="117"/>
          <c:order val="3"/>
          <c:tx>
            <c:strRef>
              <c:f>'_SB Analysis'!$AA$326</c:f>
              <c:strCache>
                <c:ptCount val="1"/>
              </c:strCache>
            </c:strRef>
          </c:tx>
          <c:spPr>
            <a:ln w="12700">
              <a:solidFill>
                <a:srgbClr val="000000"/>
              </a:solidFill>
            </a:ln>
          </c:spPr>
          <c:marker>
            <c:symbol val="none"/>
          </c:marker>
          <c:xVal>
            <c:numRef>
              <c:f>'_SB Analysis'!$AB$326:$AC$326</c:f>
              <c:numCache>
                <c:formatCode>General</c:formatCode>
                <c:ptCount val="2"/>
                <c:pt idx="0">
                  <c:v>#N/A</c:v>
                </c:pt>
                <c:pt idx="1">
                  <c:v>#N/A</c:v>
                </c:pt>
              </c:numCache>
            </c:numRef>
          </c:xVal>
          <c:yVal>
            <c:numRef>
              <c:f>'_SB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F3CD-41FC-B803-CC3D2681A579}"/>
            </c:ext>
          </c:extLst>
        </c:ser>
        <c:ser>
          <c:idx val="116"/>
          <c:order val="4"/>
          <c:tx>
            <c:strRef>
              <c:f>'_SB Analysis'!$AA$325</c:f>
              <c:strCache>
                <c:ptCount val="1"/>
              </c:strCache>
            </c:strRef>
          </c:tx>
          <c:spPr>
            <a:ln w="12700">
              <a:solidFill>
                <a:srgbClr val="000000"/>
              </a:solidFill>
            </a:ln>
          </c:spPr>
          <c:marker>
            <c:symbol val="none"/>
          </c:marker>
          <c:xVal>
            <c:numRef>
              <c:f>'_SB Analysis'!$AB$325:$AC$325</c:f>
              <c:numCache>
                <c:formatCode>General</c:formatCode>
                <c:ptCount val="2"/>
                <c:pt idx="0">
                  <c:v>#N/A</c:v>
                </c:pt>
                <c:pt idx="1">
                  <c:v>#N/A</c:v>
                </c:pt>
              </c:numCache>
            </c:numRef>
          </c:xVal>
          <c:yVal>
            <c:numRef>
              <c:f>'_SB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F3CD-41FC-B803-CC3D2681A579}"/>
            </c:ext>
          </c:extLst>
        </c:ser>
        <c:ser>
          <c:idx val="115"/>
          <c:order val="5"/>
          <c:tx>
            <c:strRef>
              <c:f>'_SB Analysis'!$AA$324</c:f>
              <c:strCache>
                <c:ptCount val="1"/>
              </c:strCache>
            </c:strRef>
          </c:tx>
          <c:spPr>
            <a:ln w="12700">
              <a:solidFill>
                <a:srgbClr val="000000"/>
              </a:solidFill>
            </a:ln>
          </c:spPr>
          <c:marker>
            <c:symbol val="none"/>
          </c:marker>
          <c:xVal>
            <c:numRef>
              <c:f>'_SB Analysis'!$AB$324:$AC$324</c:f>
              <c:numCache>
                <c:formatCode>General</c:formatCode>
                <c:ptCount val="2"/>
                <c:pt idx="0">
                  <c:v>#N/A</c:v>
                </c:pt>
                <c:pt idx="1">
                  <c:v>#N/A</c:v>
                </c:pt>
              </c:numCache>
            </c:numRef>
          </c:xVal>
          <c:yVal>
            <c:numRef>
              <c:f>'_SB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F3CD-41FC-B803-CC3D2681A579}"/>
            </c:ext>
          </c:extLst>
        </c:ser>
        <c:ser>
          <c:idx val="114"/>
          <c:order val="6"/>
          <c:tx>
            <c:strRef>
              <c:f>'_SB Analysis'!$AA$323</c:f>
              <c:strCache>
                <c:ptCount val="1"/>
              </c:strCache>
            </c:strRef>
          </c:tx>
          <c:spPr>
            <a:ln w="12700">
              <a:solidFill>
                <a:srgbClr val="000000"/>
              </a:solidFill>
            </a:ln>
          </c:spPr>
          <c:marker>
            <c:symbol val="none"/>
          </c:marker>
          <c:xVal>
            <c:numRef>
              <c:f>'_SB Analysis'!$AB$323:$AC$323</c:f>
              <c:numCache>
                <c:formatCode>General</c:formatCode>
                <c:ptCount val="2"/>
                <c:pt idx="0">
                  <c:v>#N/A</c:v>
                </c:pt>
                <c:pt idx="1">
                  <c:v>#N/A</c:v>
                </c:pt>
              </c:numCache>
            </c:numRef>
          </c:xVal>
          <c:yVal>
            <c:numRef>
              <c:f>'_SB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F3CD-41FC-B803-CC3D2681A579}"/>
            </c:ext>
          </c:extLst>
        </c:ser>
        <c:ser>
          <c:idx val="113"/>
          <c:order val="7"/>
          <c:tx>
            <c:strRef>
              <c:f>'_SB Analysis'!$AA$322</c:f>
              <c:strCache>
                <c:ptCount val="1"/>
              </c:strCache>
            </c:strRef>
          </c:tx>
          <c:spPr>
            <a:ln w="12700">
              <a:solidFill>
                <a:srgbClr val="000000"/>
              </a:solidFill>
            </a:ln>
          </c:spPr>
          <c:marker>
            <c:symbol val="none"/>
          </c:marker>
          <c:xVal>
            <c:numRef>
              <c:f>'_SB Analysis'!$AB$322:$AC$322</c:f>
              <c:numCache>
                <c:formatCode>General</c:formatCode>
                <c:ptCount val="2"/>
                <c:pt idx="0">
                  <c:v>#N/A</c:v>
                </c:pt>
                <c:pt idx="1">
                  <c:v>#N/A</c:v>
                </c:pt>
              </c:numCache>
            </c:numRef>
          </c:xVal>
          <c:yVal>
            <c:numRef>
              <c:f>'_SB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F3CD-41FC-B803-CC3D2681A579}"/>
            </c:ext>
          </c:extLst>
        </c:ser>
        <c:ser>
          <c:idx val="112"/>
          <c:order val="8"/>
          <c:tx>
            <c:strRef>
              <c:f>'_SB Analysis'!$AA$321</c:f>
              <c:strCache>
                <c:ptCount val="1"/>
              </c:strCache>
            </c:strRef>
          </c:tx>
          <c:spPr>
            <a:ln w="12700">
              <a:solidFill>
                <a:srgbClr val="000000"/>
              </a:solidFill>
            </a:ln>
          </c:spPr>
          <c:marker>
            <c:symbol val="none"/>
          </c:marker>
          <c:xVal>
            <c:numRef>
              <c:f>'_SB Analysis'!$AB$321:$AC$321</c:f>
              <c:numCache>
                <c:formatCode>General</c:formatCode>
                <c:ptCount val="2"/>
                <c:pt idx="0">
                  <c:v>#N/A</c:v>
                </c:pt>
                <c:pt idx="1">
                  <c:v>#N/A</c:v>
                </c:pt>
              </c:numCache>
            </c:numRef>
          </c:xVal>
          <c:yVal>
            <c:numRef>
              <c:f>'_SB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F3CD-41FC-B803-CC3D2681A579}"/>
            </c:ext>
          </c:extLst>
        </c:ser>
        <c:ser>
          <c:idx val="111"/>
          <c:order val="9"/>
          <c:tx>
            <c:strRef>
              <c:f>'_SB Analysis'!$AA$320</c:f>
              <c:strCache>
                <c:ptCount val="1"/>
              </c:strCache>
            </c:strRef>
          </c:tx>
          <c:spPr>
            <a:ln w="12700">
              <a:solidFill>
                <a:srgbClr val="000000"/>
              </a:solidFill>
            </a:ln>
          </c:spPr>
          <c:marker>
            <c:symbol val="none"/>
          </c:marker>
          <c:xVal>
            <c:numRef>
              <c:f>'_SB Analysis'!$AB$320:$AC$320</c:f>
              <c:numCache>
                <c:formatCode>General</c:formatCode>
                <c:ptCount val="2"/>
                <c:pt idx="0">
                  <c:v>#N/A</c:v>
                </c:pt>
                <c:pt idx="1">
                  <c:v>#N/A</c:v>
                </c:pt>
              </c:numCache>
            </c:numRef>
          </c:xVal>
          <c:yVal>
            <c:numRef>
              <c:f>'_SB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F3CD-41FC-B803-CC3D2681A579}"/>
            </c:ext>
          </c:extLst>
        </c:ser>
        <c:ser>
          <c:idx val="110"/>
          <c:order val="10"/>
          <c:tx>
            <c:strRef>
              <c:f>'_SB Analysis'!$AA$319</c:f>
              <c:strCache>
                <c:ptCount val="1"/>
              </c:strCache>
            </c:strRef>
          </c:tx>
          <c:spPr>
            <a:ln w="12700">
              <a:solidFill>
                <a:srgbClr val="000000"/>
              </a:solidFill>
            </a:ln>
          </c:spPr>
          <c:marker>
            <c:symbol val="none"/>
          </c:marker>
          <c:xVal>
            <c:numRef>
              <c:f>'_SB Analysis'!$AB$319:$AC$319</c:f>
              <c:numCache>
                <c:formatCode>General</c:formatCode>
                <c:ptCount val="2"/>
                <c:pt idx="0">
                  <c:v>#N/A</c:v>
                </c:pt>
                <c:pt idx="1">
                  <c:v>#N/A</c:v>
                </c:pt>
              </c:numCache>
            </c:numRef>
          </c:xVal>
          <c:yVal>
            <c:numRef>
              <c:f>'_SB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F3CD-41FC-B803-CC3D2681A579}"/>
            </c:ext>
          </c:extLst>
        </c:ser>
        <c:ser>
          <c:idx val="109"/>
          <c:order val="11"/>
          <c:tx>
            <c:strRef>
              <c:f>'_SB Analysis'!$AA$318</c:f>
              <c:strCache>
                <c:ptCount val="1"/>
              </c:strCache>
            </c:strRef>
          </c:tx>
          <c:spPr>
            <a:ln w="12700">
              <a:solidFill>
                <a:srgbClr val="000000"/>
              </a:solidFill>
            </a:ln>
          </c:spPr>
          <c:marker>
            <c:symbol val="none"/>
          </c:marker>
          <c:xVal>
            <c:numRef>
              <c:f>'_SB Analysis'!$AB$318:$AC$318</c:f>
              <c:numCache>
                <c:formatCode>General</c:formatCode>
                <c:ptCount val="2"/>
                <c:pt idx="0">
                  <c:v>#N/A</c:v>
                </c:pt>
                <c:pt idx="1">
                  <c:v>#N/A</c:v>
                </c:pt>
              </c:numCache>
            </c:numRef>
          </c:xVal>
          <c:yVal>
            <c:numRef>
              <c:f>'_SB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F3CD-41FC-B803-CC3D2681A579}"/>
            </c:ext>
          </c:extLst>
        </c:ser>
        <c:ser>
          <c:idx val="108"/>
          <c:order val="12"/>
          <c:tx>
            <c:strRef>
              <c:f>'_SB Analysis'!$AA$317</c:f>
              <c:strCache>
                <c:ptCount val="1"/>
              </c:strCache>
            </c:strRef>
          </c:tx>
          <c:spPr>
            <a:ln w="12700">
              <a:solidFill>
                <a:srgbClr val="000000"/>
              </a:solidFill>
            </a:ln>
          </c:spPr>
          <c:marker>
            <c:symbol val="none"/>
          </c:marker>
          <c:xVal>
            <c:numRef>
              <c:f>'_SB Analysis'!$AB$317:$AC$317</c:f>
              <c:numCache>
                <c:formatCode>General</c:formatCode>
                <c:ptCount val="2"/>
                <c:pt idx="0">
                  <c:v>#N/A</c:v>
                </c:pt>
                <c:pt idx="1">
                  <c:v>#N/A</c:v>
                </c:pt>
              </c:numCache>
            </c:numRef>
          </c:xVal>
          <c:yVal>
            <c:numRef>
              <c:f>'_SB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F3CD-41FC-B803-CC3D2681A579}"/>
            </c:ext>
          </c:extLst>
        </c:ser>
        <c:ser>
          <c:idx val="107"/>
          <c:order val="13"/>
          <c:tx>
            <c:strRef>
              <c:f>'_SB Analysis'!$AA$316</c:f>
              <c:strCache>
                <c:ptCount val="1"/>
              </c:strCache>
            </c:strRef>
          </c:tx>
          <c:spPr>
            <a:ln w="12700">
              <a:solidFill>
                <a:srgbClr val="000000"/>
              </a:solidFill>
            </a:ln>
          </c:spPr>
          <c:marker>
            <c:symbol val="none"/>
          </c:marker>
          <c:xVal>
            <c:numRef>
              <c:f>'_SB Analysis'!$AB$316:$AC$316</c:f>
              <c:numCache>
                <c:formatCode>General</c:formatCode>
                <c:ptCount val="2"/>
                <c:pt idx="0">
                  <c:v>#N/A</c:v>
                </c:pt>
                <c:pt idx="1">
                  <c:v>#N/A</c:v>
                </c:pt>
              </c:numCache>
            </c:numRef>
          </c:xVal>
          <c:yVal>
            <c:numRef>
              <c:f>'_SB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F3CD-41FC-B803-CC3D2681A579}"/>
            </c:ext>
          </c:extLst>
        </c:ser>
        <c:ser>
          <c:idx val="106"/>
          <c:order val="14"/>
          <c:tx>
            <c:strRef>
              <c:f>'_SB Analysis'!$AA$315</c:f>
              <c:strCache>
                <c:ptCount val="1"/>
              </c:strCache>
            </c:strRef>
          </c:tx>
          <c:spPr>
            <a:ln w="12700">
              <a:solidFill>
                <a:srgbClr val="000000"/>
              </a:solidFill>
            </a:ln>
          </c:spPr>
          <c:marker>
            <c:symbol val="none"/>
          </c:marker>
          <c:xVal>
            <c:numRef>
              <c:f>'_SB Analysis'!$AB$315:$AC$315</c:f>
              <c:numCache>
                <c:formatCode>General</c:formatCode>
                <c:ptCount val="2"/>
                <c:pt idx="0">
                  <c:v>#N/A</c:v>
                </c:pt>
                <c:pt idx="1">
                  <c:v>#N/A</c:v>
                </c:pt>
              </c:numCache>
            </c:numRef>
          </c:xVal>
          <c:yVal>
            <c:numRef>
              <c:f>'_SB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F3CD-41FC-B803-CC3D2681A579}"/>
            </c:ext>
          </c:extLst>
        </c:ser>
        <c:ser>
          <c:idx val="105"/>
          <c:order val="15"/>
          <c:tx>
            <c:strRef>
              <c:f>'_SB Analysis'!$AA$314</c:f>
              <c:strCache>
                <c:ptCount val="1"/>
              </c:strCache>
            </c:strRef>
          </c:tx>
          <c:spPr>
            <a:ln w="12700">
              <a:solidFill>
                <a:srgbClr val="000000"/>
              </a:solidFill>
            </a:ln>
          </c:spPr>
          <c:marker>
            <c:symbol val="none"/>
          </c:marker>
          <c:xVal>
            <c:numRef>
              <c:f>'_SB Analysis'!$AB$314:$AC$314</c:f>
              <c:numCache>
                <c:formatCode>General</c:formatCode>
                <c:ptCount val="2"/>
                <c:pt idx="0">
                  <c:v>#N/A</c:v>
                </c:pt>
                <c:pt idx="1">
                  <c:v>#N/A</c:v>
                </c:pt>
              </c:numCache>
            </c:numRef>
          </c:xVal>
          <c:yVal>
            <c:numRef>
              <c:f>'_SB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F3CD-41FC-B803-CC3D2681A579}"/>
            </c:ext>
          </c:extLst>
        </c:ser>
        <c:ser>
          <c:idx val="104"/>
          <c:order val="16"/>
          <c:tx>
            <c:strRef>
              <c:f>'_SB Analysis'!$AA$313</c:f>
              <c:strCache>
                <c:ptCount val="1"/>
              </c:strCache>
            </c:strRef>
          </c:tx>
          <c:spPr>
            <a:ln w="12700">
              <a:solidFill>
                <a:srgbClr val="000000"/>
              </a:solidFill>
            </a:ln>
          </c:spPr>
          <c:marker>
            <c:symbol val="none"/>
          </c:marker>
          <c:xVal>
            <c:numRef>
              <c:f>'_SB Analysis'!$AB$313:$AC$313</c:f>
              <c:numCache>
                <c:formatCode>General</c:formatCode>
                <c:ptCount val="2"/>
                <c:pt idx="0">
                  <c:v>#N/A</c:v>
                </c:pt>
                <c:pt idx="1">
                  <c:v>#N/A</c:v>
                </c:pt>
              </c:numCache>
            </c:numRef>
          </c:xVal>
          <c:yVal>
            <c:numRef>
              <c:f>'_SB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F3CD-41FC-B803-CC3D2681A579}"/>
            </c:ext>
          </c:extLst>
        </c:ser>
        <c:ser>
          <c:idx val="103"/>
          <c:order val="17"/>
          <c:tx>
            <c:strRef>
              <c:f>'_SB Analysis'!$AA$312</c:f>
              <c:strCache>
                <c:ptCount val="1"/>
              </c:strCache>
            </c:strRef>
          </c:tx>
          <c:spPr>
            <a:ln w="12700">
              <a:solidFill>
                <a:srgbClr val="000000"/>
              </a:solidFill>
            </a:ln>
          </c:spPr>
          <c:marker>
            <c:symbol val="none"/>
          </c:marker>
          <c:xVal>
            <c:numRef>
              <c:f>'_SB Analysis'!$AB$312:$AC$312</c:f>
              <c:numCache>
                <c:formatCode>General</c:formatCode>
                <c:ptCount val="2"/>
                <c:pt idx="0">
                  <c:v>#N/A</c:v>
                </c:pt>
                <c:pt idx="1">
                  <c:v>#N/A</c:v>
                </c:pt>
              </c:numCache>
            </c:numRef>
          </c:xVal>
          <c:yVal>
            <c:numRef>
              <c:f>'_SB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F3CD-41FC-B803-CC3D2681A579}"/>
            </c:ext>
          </c:extLst>
        </c:ser>
        <c:ser>
          <c:idx val="102"/>
          <c:order val="18"/>
          <c:tx>
            <c:strRef>
              <c:f>'_SB Analysis'!$AA$311</c:f>
              <c:strCache>
                <c:ptCount val="1"/>
              </c:strCache>
            </c:strRef>
          </c:tx>
          <c:spPr>
            <a:ln w="12700">
              <a:solidFill>
                <a:srgbClr val="000000"/>
              </a:solidFill>
            </a:ln>
          </c:spPr>
          <c:marker>
            <c:symbol val="none"/>
          </c:marker>
          <c:xVal>
            <c:numRef>
              <c:f>'_SB Analysis'!$AB$311:$AC$311</c:f>
              <c:numCache>
                <c:formatCode>General</c:formatCode>
                <c:ptCount val="2"/>
                <c:pt idx="0">
                  <c:v>#N/A</c:v>
                </c:pt>
                <c:pt idx="1">
                  <c:v>#N/A</c:v>
                </c:pt>
              </c:numCache>
            </c:numRef>
          </c:xVal>
          <c:yVal>
            <c:numRef>
              <c:f>'_SB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F3CD-41FC-B803-CC3D2681A579}"/>
            </c:ext>
          </c:extLst>
        </c:ser>
        <c:ser>
          <c:idx val="101"/>
          <c:order val="19"/>
          <c:tx>
            <c:strRef>
              <c:f>'_SB Analysis'!$AA$310</c:f>
              <c:strCache>
                <c:ptCount val="1"/>
              </c:strCache>
            </c:strRef>
          </c:tx>
          <c:spPr>
            <a:ln w="12700">
              <a:solidFill>
                <a:srgbClr val="000000"/>
              </a:solidFill>
            </a:ln>
          </c:spPr>
          <c:marker>
            <c:symbol val="none"/>
          </c:marker>
          <c:xVal>
            <c:numRef>
              <c:f>'_SB Analysis'!$AB$310:$AC$310</c:f>
              <c:numCache>
                <c:formatCode>General</c:formatCode>
                <c:ptCount val="2"/>
                <c:pt idx="0">
                  <c:v>#N/A</c:v>
                </c:pt>
                <c:pt idx="1">
                  <c:v>#N/A</c:v>
                </c:pt>
              </c:numCache>
            </c:numRef>
          </c:xVal>
          <c:yVal>
            <c:numRef>
              <c:f>'_SB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F3CD-41FC-B803-CC3D2681A579}"/>
            </c:ext>
          </c:extLst>
        </c:ser>
        <c:ser>
          <c:idx val="100"/>
          <c:order val="20"/>
          <c:tx>
            <c:strRef>
              <c:f>'_SB Analysis'!$AA$309</c:f>
              <c:strCache>
                <c:ptCount val="1"/>
              </c:strCache>
            </c:strRef>
          </c:tx>
          <c:spPr>
            <a:ln w="12700">
              <a:solidFill>
                <a:srgbClr val="000000"/>
              </a:solidFill>
            </a:ln>
          </c:spPr>
          <c:marker>
            <c:symbol val="none"/>
          </c:marker>
          <c:xVal>
            <c:numRef>
              <c:f>'_SB Analysis'!$AB$309:$AC$309</c:f>
              <c:numCache>
                <c:formatCode>General</c:formatCode>
                <c:ptCount val="2"/>
                <c:pt idx="0">
                  <c:v>#N/A</c:v>
                </c:pt>
                <c:pt idx="1">
                  <c:v>#N/A</c:v>
                </c:pt>
              </c:numCache>
            </c:numRef>
          </c:xVal>
          <c:yVal>
            <c:numRef>
              <c:f>'_SB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F3CD-41FC-B803-CC3D2681A579}"/>
            </c:ext>
          </c:extLst>
        </c:ser>
        <c:ser>
          <c:idx val="99"/>
          <c:order val="21"/>
          <c:tx>
            <c:strRef>
              <c:f>'_SB Analysis'!$AA$308</c:f>
              <c:strCache>
                <c:ptCount val="1"/>
              </c:strCache>
            </c:strRef>
          </c:tx>
          <c:spPr>
            <a:ln w="12700">
              <a:solidFill>
                <a:srgbClr val="000000"/>
              </a:solidFill>
            </a:ln>
          </c:spPr>
          <c:marker>
            <c:symbol val="none"/>
          </c:marker>
          <c:xVal>
            <c:numRef>
              <c:f>'_SB Analysis'!$AB$308:$AC$308</c:f>
              <c:numCache>
                <c:formatCode>General</c:formatCode>
                <c:ptCount val="2"/>
                <c:pt idx="0">
                  <c:v>#N/A</c:v>
                </c:pt>
                <c:pt idx="1">
                  <c:v>#N/A</c:v>
                </c:pt>
              </c:numCache>
            </c:numRef>
          </c:xVal>
          <c:yVal>
            <c:numRef>
              <c:f>'_SB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F3CD-41FC-B803-CC3D2681A579}"/>
            </c:ext>
          </c:extLst>
        </c:ser>
        <c:ser>
          <c:idx val="98"/>
          <c:order val="22"/>
          <c:tx>
            <c:strRef>
              <c:f>'_SB Analysis'!$AA$307</c:f>
              <c:strCache>
                <c:ptCount val="1"/>
              </c:strCache>
            </c:strRef>
          </c:tx>
          <c:spPr>
            <a:ln w="12700">
              <a:solidFill>
                <a:srgbClr val="000000"/>
              </a:solidFill>
            </a:ln>
          </c:spPr>
          <c:marker>
            <c:symbol val="none"/>
          </c:marker>
          <c:xVal>
            <c:numRef>
              <c:f>'_SB Analysis'!$AB$307:$AC$307</c:f>
              <c:numCache>
                <c:formatCode>General</c:formatCode>
                <c:ptCount val="2"/>
                <c:pt idx="0">
                  <c:v>#N/A</c:v>
                </c:pt>
                <c:pt idx="1">
                  <c:v>#N/A</c:v>
                </c:pt>
              </c:numCache>
            </c:numRef>
          </c:xVal>
          <c:yVal>
            <c:numRef>
              <c:f>'_SB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F3CD-41FC-B803-CC3D2681A579}"/>
            </c:ext>
          </c:extLst>
        </c:ser>
        <c:ser>
          <c:idx val="97"/>
          <c:order val="23"/>
          <c:tx>
            <c:strRef>
              <c:f>'_SB Analysis'!$AA$306</c:f>
              <c:strCache>
                <c:ptCount val="1"/>
              </c:strCache>
            </c:strRef>
          </c:tx>
          <c:spPr>
            <a:ln w="12700">
              <a:solidFill>
                <a:srgbClr val="000000"/>
              </a:solidFill>
            </a:ln>
          </c:spPr>
          <c:marker>
            <c:symbol val="none"/>
          </c:marker>
          <c:xVal>
            <c:numRef>
              <c:f>'_SB Analysis'!$AB$306:$AC$306</c:f>
              <c:numCache>
                <c:formatCode>General</c:formatCode>
                <c:ptCount val="2"/>
                <c:pt idx="0">
                  <c:v>#N/A</c:v>
                </c:pt>
                <c:pt idx="1">
                  <c:v>#N/A</c:v>
                </c:pt>
              </c:numCache>
            </c:numRef>
          </c:xVal>
          <c:yVal>
            <c:numRef>
              <c:f>'_SB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F3CD-41FC-B803-CC3D2681A579}"/>
            </c:ext>
          </c:extLst>
        </c:ser>
        <c:ser>
          <c:idx val="96"/>
          <c:order val="24"/>
          <c:tx>
            <c:strRef>
              <c:f>'_SB Analysis'!$AA$305</c:f>
              <c:strCache>
                <c:ptCount val="1"/>
              </c:strCache>
            </c:strRef>
          </c:tx>
          <c:spPr>
            <a:ln w="12700">
              <a:solidFill>
                <a:srgbClr val="000000"/>
              </a:solidFill>
            </a:ln>
          </c:spPr>
          <c:marker>
            <c:symbol val="none"/>
          </c:marker>
          <c:xVal>
            <c:numRef>
              <c:f>'_SB Analysis'!$AB$305:$AC$305</c:f>
              <c:numCache>
                <c:formatCode>General</c:formatCode>
                <c:ptCount val="2"/>
                <c:pt idx="0">
                  <c:v>#N/A</c:v>
                </c:pt>
                <c:pt idx="1">
                  <c:v>#N/A</c:v>
                </c:pt>
              </c:numCache>
            </c:numRef>
          </c:xVal>
          <c:yVal>
            <c:numRef>
              <c:f>'_SB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F3CD-41FC-B803-CC3D2681A579}"/>
            </c:ext>
          </c:extLst>
        </c:ser>
        <c:ser>
          <c:idx val="95"/>
          <c:order val="25"/>
          <c:tx>
            <c:strRef>
              <c:f>'_SB Analysis'!$AA$304</c:f>
              <c:strCache>
                <c:ptCount val="1"/>
              </c:strCache>
            </c:strRef>
          </c:tx>
          <c:spPr>
            <a:ln w="12700">
              <a:solidFill>
                <a:srgbClr val="000000"/>
              </a:solidFill>
            </a:ln>
          </c:spPr>
          <c:marker>
            <c:symbol val="none"/>
          </c:marker>
          <c:xVal>
            <c:numRef>
              <c:f>'_SB Analysis'!$AB$304:$AC$304</c:f>
              <c:numCache>
                <c:formatCode>General</c:formatCode>
                <c:ptCount val="2"/>
                <c:pt idx="0">
                  <c:v>#N/A</c:v>
                </c:pt>
                <c:pt idx="1">
                  <c:v>#N/A</c:v>
                </c:pt>
              </c:numCache>
            </c:numRef>
          </c:xVal>
          <c:yVal>
            <c:numRef>
              <c:f>'_SB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F3CD-41FC-B803-CC3D2681A579}"/>
            </c:ext>
          </c:extLst>
        </c:ser>
        <c:ser>
          <c:idx val="94"/>
          <c:order val="26"/>
          <c:tx>
            <c:strRef>
              <c:f>'_SB Analysis'!$AA$303</c:f>
              <c:strCache>
                <c:ptCount val="1"/>
              </c:strCache>
            </c:strRef>
          </c:tx>
          <c:spPr>
            <a:ln w="12700">
              <a:solidFill>
                <a:srgbClr val="000000"/>
              </a:solidFill>
            </a:ln>
          </c:spPr>
          <c:marker>
            <c:symbol val="none"/>
          </c:marker>
          <c:xVal>
            <c:numRef>
              <c:f>'_SB Analysis'!$AB$303:$AC$303</c:f>
              <c:numCache>
                <c:formatCode>General</c:formatCode>
                <c:ptCount val="2"/>
                <c:pt idx="0">
                  <c:v>#N/A</c:v>
                </c:pt>
                <c:pt idx="1">
                  <c:v>#N/A</c:v>
                </c:pt>
              </c:numCache>
            </c:numRef>
          </c:xVal>
          <c:yVal>
            <c:numRef>
              <c:f>'_SB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F3CD-41FC-B803-CC3D2681A579}"/>
            </c:ext>
          </c:extLst>
        </c:ser>
        <c:ser>
          <c:idx val="93"/>
          <c:order val="27"/>
          <c:tx>
            <c:strRef>
              <c:f>'_SB Analysis'!$AA$302</c:f>
              <c:strCache>
                <c:ptCount val="1"/>
              </c:strCache>
            </c:strRef>
          </c:tx>
          <c:spPr>
            <a:ln w="12700">
              <a:solidFill>
                <a:srgbClr val="000000"/>
              </a:solidFill>
            </a:ln>
          </c:spPr>
          <c:marker>
            <c:symbol val="none"/>
          </c:marker>
          <c:xVal>
            <c:numRef>
              <c:f>'_SB Analysis'!$AB$302:$AC$302</c:f>
              <c:numCache>
                <c:formatCode>General</c:formatCode>
                <c:ptCount val="2"/>
                <c:pt idx="0">
                  <c:v>#N/A</c:v>
                </c:pt>
                <c:pt idx="1">
                  <c:v>#N/A</c:v>
                </c:pt>
              </c:numCache>
            </c:numRef>
          </c:xVal>
          <c:yVal>
            <c:numRef>
              <c:f>'_SB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F3CD-41FC-B803-CC3D2681A579}"/>
            </c:ext>
          </c:extLst>
        </c:ser>
        <c:ser>
          <c:idx val="92"/>
          <c:order val="28"/>
          <c:tx>
            <c:strRef>
              <c:f>'_SB Analysis'!$AA$301</c:f>
              <c:strCache>
                <c:ptCount val="1"/>
              </c:strCache>
            </c:strRef>
          </c:tx>
          <c:spPr>
            <a:ln w="12700">
              <a:solidFill>
                <a:srgbClr val="000000"/>
              </a:solidFill>
            </a:ln>
          </c:spPr>
          <c:marker>
            <c:symbol val="none"/>
          </c:marker>
          <c:xVal>
            <c:numRef>
              <c:f>'_SB Analysis'!$AB$301:$AC$301</c:f>
              <c:numCache>
                <c:formatCode>General</c:formatCode>
                <c:ptCount val="2"/>
                <c:pt idx="0">
                  <c:v>#N/A</c:v>
                </c:pt>
                <c:pt idx="1">
                  <c:v>#N/A</c:v>
                </c:pt>
              </c:numCache>
            </c:numRef>
          </c:xVal>
          <c:yVal>
            <c:numRef>
              <c:f>'_SB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F3CD-41FC-B803-CC3D2681A579}"/>
            </c:ext>
          </c:extLst>
        </c:ser>
        <c:ser>
          <c:idx val="91"/>
          <c:order val="29"/>
          <c:tx>
            <c:strRef>
              <c:f>'_SB Analysis'!$AA$300</c:f>
              <c:strCache>
                <c:ptCount val="1"/>
              </c:strCache>
            </c:strRef>
          </c:tx>
          <c:spPr>
            <a:ln w="12700">
              <a:solidFill>
                <a:srgbClr val="000000"/>
              </a:solidFill>
            </a:ln>
          </c:spPr>
          <c:marker>
            <c:symbol val="none"/>
          </c:marker>
          <c:xVal>
            <c:numRef>
              <c:f>'_SB Analysis'!$AB$300:$AC$300</c:f>
              <c:numCache>
                <c:formatCode>General</c:formatCode>
                <c:ptCount val="2"/>
                <c:pt idx="0">
                  <c:v>#N/A</c:v>
                </c:pt>
                <c:pt idx="1">
                  <c:v>#N/A</c:v>
                </c:pt>
              </c:numCache>
            </c:numRef>
          </c:xVal>
          <c:yVal>
            <c:numRef>
              <c:f>'_SB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F3CD-41FC-B803-CC3D2681A579}"/>
            </c:ext>
          </c:extLst>
        </c:ser>
        <c:ser>
          <c:idx val="90"/>
          <c:order val="30"/>
          <c:tx>
            <c:strRef>
              <c:f>'_SB Analysis'!$AA$299</c:f>
              <c:strCache>
                <c:ptCount val="1"/>
              </c:strCache>
            </c:strRef>
          </c:tx>
          <c:spPr>
            <a:ln w="12700">
              <a:solidFill>
                <a:srgbClr val="000000"/>
              </a:solidFill>
            </a:ln>
          </c:spPr>
          <c:marker>
            <c:symbol val="none"/>
          </c:marker>
          <c:xVal>
            <c:numRef>
              <c:f>'_SB Analysis'!$AB$299:$AC$299</c:f>
              <c:numCache>
                <c:formatCode>General</c:formatCode>
                <c:ptCount val="2"/>
                <c:pt idx="0">
                  <c:v>#N/A</c:v>
                </c:pt>
                <c:pt idx="1">
                  <c:v>#N/A</c:v>
                </c:pt>
              </c:numCache>
            </c:numRef>
          </c:xVal>
          <c:yVal>
            <c:numRef>
              <c:f>'_SB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F3CD-41FC-B803-CC3D2681A579}"/>
            </c:ext>
          </c:extLst>
        </c:ser>
        <c:ser>
          <c:idx val="89"/>
          <c:order val="31"/>
          <c:tx>
            <c:strRef>
              <c:f>'_SB Analysis'!$AA$298</c:f>
              <c:strCache>
                <c:ptCount val="1"/>
              </c:strCache>
            </c:strRef>
          </c:tx>
          <c:spPr>
            <a:ln w="12700">
              <a:solidFill>
                <a:srgbClr val="000000"/>
              </a:solidFill>
            </a:ln>
          </c:spPr>
          <c:marker>
            <c:symbol val="none"/>
          </c:marker>
          <c:xVal>
            <c:numRef>
              <c:f>'_SB Analysis'!$AB$298:$AC$298</c:f>
              <c:numCache>
                <c:formatCode>General</c:formatCode>
                <c:ptCount val="2"/>
                <c:pt idx="0">
                  <c:v>#N/A</c:v>
                </c:pt>
                <c:pt idx="1">
                  <c:v>#N/A</c:v>
                </c:pt>
              </c:numCache>
            </c:numRef>
          </c:xVal>
          <c:yVal>
            <c:numRef>
              <c:f>'_SB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F3CD-41FC-B803-CC3D2681A579}"/>
            </c:ext>
          </c:extLst>
        </c:ser>
        <c:ser>
          <c:idx val="88"/>
          <c:order val="32"/>
          <c:tx>
            <c:strRef>
              <c:f>'_SB Analysis'!$AA$297</c:f>
              <c:strCache>
                <c:ptCount val="1"/>
              </c:strCache>
            </c:strRef>
          </c:tx>
          <c:spPr>
            <a:ln w="12700">
              <a:solidFill>
                <a:srgbClr val="000000"/>
              </a:solidFill>
            </a:ln>
          </c:spPr>
          <c:marker>
            <c:symbol val="none"/>
          </c:marker>
          <c:xVal>
            <c:numRef>
              <c:f>'_SB Analysis'!$AB$297:$AC$297</c:f>
              <c:numCache>
                <c:formatCode>General</c:formatCode>
                <c:ptCount val="2"/>
                <c:pt idx="0">
                  <c:v>#N/A</c:v>
                </c:pt>
                <c:pt idx="1">
                  <c:v>#N/A</c:v>
                </c:pt>
              </c:numCache>
            </c:numRef>
          </c:xVal>
          <c:yVal>
            <c:numRef>
              <c:f>'_SB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F3CD-41FC-B803-CC3D2681A579}"/>
            </c:ext>
          </c:extLst>
        </c:ser>
        <c:ser>
          <c:idx val="87"/>
          <c:order val="33"/>
          <c:tx>
            <c:strRef>
              <c:f>'_SB Analysis'!$AA$296</c:f>
              <c:strCache>
                <c:ptCount val="1"/>
              </c:strCache>
            </c:strRef>
          </c:tx>
          <c:spPr>
            <a:ln w="12700">
              <a:solidFill>
                <a:srgbClr val="000000"/>
              </a:solidFill>
            </a:ln>
          </c:spPr>
          <c:marker>
            <c:symbol val="none"/>
          </c:marker>
          <c:xVal>
            <c:numRef>
              <c:f>'_SB Analysis'!$AB$296:$AC$296</c:f>
              <c:numCache>
                <c:formatCode>General</c:formatCode>
                <c:ptCount val="2"/>
                <c:pt idx="0">
                  <c:v>#N/A</c:v>
                </c:pt>
                <c:pt idx="1">
                  <c:v>#N/A</c:v>
                </c:pt>
              </c:numCache>
            </c:numRef>
          </c:xVal>
          <c:yVal>
            <c:numRef>
              <c:f>'_SB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F3CD-41FC-B803-CC3D2681A579}"/>
            </c:ext>
          </c:extLst>
        </c:ser>
        <c:ser>
          <c:idx val="86"/>
          <c:order val="34"/>
          <c:tx>
            <c:strRef>
              <c:f>'_SB Analysis'!$AA$295</c:f>
              <c:strCache>
                <c:ptCount val="1"/>
              </c:strCache>
            </c:strRef>
          </c:tx>
          <c:spPr>
            <a:ln w="12700">
              <a:solidFill>
                <a:srgbClr val="000000"/>
              </a:solidFill>
            </a:ln>
          </c:spPr>
          <c:marker>
            <c:symbol val="none"/>
          </c:marker>
          <c:xVal>
            <c:numRef>
              <c:f>'_SB Analysis'!$AB$295:$AC$295</c:f>
              <c:numCache>
                <c:formatCode>General</c:formatCode>
                <c:ptCount val="2"/>
                <c:pt idx="0">
                  <c:v>#N/A</c:v>
                </c:pt>
                <c:pt idx="1">
                  <c:v>#N/A</c:v>
                </c:pt>
              </c:numCache>
            </c:numRef>
          </c:xVal>
          <c:yVal>
            <c:numRef>
              <c:f>'_SB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F3CD-41FC-B803-CC3D2681A579}"/>
            </c:ext>
          </c:extLst>
        </c:ser>
        <c:ser>
          <c:idx val="85"/>
          <c:order val="35"/>
          <c:tx>
            <c:strRef>
              <c:f>'_SB Analysis'!$AA$294</c:f>
              <c:strCache>
                <c:ptCount val="1"/>
              </c:strCache>
            </c:strRef>
          </c:tx>
          <c:spPr>
            <a:ln w="12700">
              <a:solidFill>
                <a:srgbClr val="000000"/>
              </a:solidFill>
            </a:ln>
          </c:spPr>
          <c:marker>
            <c:symbol val="none"/>
          </c:marker>
          <c:xVal>
            <c:numRef>
              <c:f>'_SB Analysis'!$AB$294:$AC$294</c:f>
              <c:numCache>
                <c:formatCode>General</c:formatCode>
                <c:ptCount val="2"/>
                <c:pt idx="0">
                  <c:v>#N/A</c:v>
                </c:pt>
                <c:pt idx="1">
                  <c:v>#N/A</c:v>
                </c:pt>
              </c:numCache>
            </c:numRef>
          </c:xVal>
          <c:yVal>
            <c:numRef>
              <c:f>'_SB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F3CD-41FC-B803-CC3D2681A579}"/>
            </c:ext>
          </c:extLst>
        </c:ser>
        <c:ser>
          <c:idx val="84"/>
          <c:order val="36"/>
          <c:tx>
            <c:strRef>
              <c:f>'_SB Analysis'!$AA$293</c:f>
              <c:strCache>
                <c:ptCount val="1"/>
              </c:strCache>
            </c:strRef>
          </c:tx>
          <c:spPr>
            <a:ln w="12700">
              <a:solidFill>
                <a:srgbClr val="000000"/>
              </a:solidFill>
            </a:ln>
          </c:spPr>
          <c:marker>
            <c:symbol val="none"/>
          </c:marker>
          <c:xVal>
            <c:numRef>
              <c:f>'_SB Analysis'!$AB$293:$AC$293</c:f>
              <c:numCache>
                <c:formatCode>General</c:formatCode>
                <c:ptCount val="2"/>
                <c:pt idx="0">
                  <c:v>#N/A</c:v>
                </c:pt>
                <c:pt idx="1">
                  <c:v>#N/A</c:v>
                </c:pt>
              </c:numCache>
            </c:numRef>
          </c:xVal>
          <c:yVal>
            <c:numRef>
              <c:f>'_SB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F3CD-41FC-B803-CC3D2681A579}"/>
            </c:ext>
          </c:extLst>
        </c:ser>
        <c:ser>
          <c:idx val="83"/>
          <c:order val="37"/>
          <c:tx>
            <c:strRef>
              <c:f>'_SB Analysis'!$AA$292</c:f>
              <c:strCache>
                <c:ptCount val="1"/>
              </c:strCache>
            </c:strRef>
          </c:tx>
          <c:spPr>
            <a:ln w="12700">
              <a:solidFill>
                <a:srgbClr val="000000"/>
              </a:solidFill>
            </a:ln>
          </c:spPr>
          <c:marker>
            <c:symbol val="none"/>
          </c:marker>
          <c:xVal>
            <c:numRef>
              <c:f>'_SB Analysis'!$AB$292:$AC$292</c:f>
              <c:numCache>
                <c:formatCode>General</c:formatCode>
                <c:ptCount val="2"/>
                <c:pt idx="0">
                  <c:v>#N/A</c:v>
                </c:pt>
                <c:pt idx="1">
                  <c:v>#N/A</c:v>
                </c:pt>
              </c:numCache>
            </c:numRef>
          </c:xVal>
          <c:yVal>
            <c:numRef>
              <c:f>'_SB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F3CD-41FC-B803-CC3D2681A579}"/>
            </c:ext>
          </c:extLst>
        </c:ser>
        <c:ser>
          <c:idx val="82"/>
          <c:order val="38"/>
          <c:tx>
            <c:strRef>
              <c:f>'_SB Analysis'!$AA$291</c:f>
              <c:strCache>
                <c:ptCount val="1"/>
              </c:strCache>
            </c:strRef>
          </c:tx>
          <c:spPr>
            <a:ln w="12700">
              <a:solidFill>
                <a:srgbClr val="000000"/>
              </a:solidFill>
            </a:ln>
          </c:spPr>
          <c:marker>
            <c:symbol val="none"/>
          </c:marker>
          <c:xVal>
            <c:numRef>
              <c:f>'_SB Analysis'!$AB$291:$AC$291</c:f>
              <c:numCache>
                <c:formatCode>General</c:formatCode>
                <c:ptCount val="2"/>
                <c:pt idx="0">
                  <c:v>#N/A</c:v>
                </c:pt>
                <c:pt idx="1">
                  <c:v>#N/A</c:v>
                </c:pt>
              </c:numCache>
            </c:numRef>
          </c:xVal>
          <c:yVal>
            <c:numRef>
              <c:f>'_SB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F3CD-41FC-B803-CC3D2681A579}"/>
            </c:ext>
          </c:extLst>
        </c:ser>
        <c:ser>
          <c:idx val="81"/>
          <c:order val="39"/>
          <c:tx>
            <c:strRef>
              <c:f>'_SB Analysis'!$AA$290</c:f>
              <c:strCache>
                <c:ptCount val="1"/>
              </c:strCache>
            </c:strRef>
          </c:tx>
          <c:spPr>
            <a:ln w="12700">
              <a:solidFill>
                <a:srgbClr val="000000"/>
              </a:solidFill>
            </a:ln>
          </c:spPr>
          <c:marker>
            <c:symbol val="none"/>
          </c:marker>
          <c:xVal>
            <c:numRef>
              <c:f>'_SB Analysis'!$AB$290:$AC$290</c:f>
              <c:numCache>
                <c:formatCode>General</c:formatCode>
                <c:ptCount val="2"/>
                <c:pt idx="0">
                  <c:v>#N/A</c:v>
                </c:pt>
                <c:pt idx="1">
                  <c:v>#N/A</c:v>
                </c:pt>
              </c:numCache>
            </c:numRef>
          </c:xVal>
          <c:yVal>
            <c:numRef>
              <c:f>'_SB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F3CD-41FC-B803-CC3D2681A579}"/>
            </c:ext>
          </c:extLst>
        </c:ser>
        <c:ser>
          <c:idx val="80"/>
          <c:order val="40"/>
          <c:tx>
            <c:strRef>
              <c:f>'_SB Analysis'!$AA$289</c:f>
              <c:strCache>
                <c:ptCount val="1"/>
              </c:strCache>
            </c:strRef>
          </c:tx>
          <c:spPr>
            <a:ln w="12700">
              <a:solidFill>
                <a:srgbClr val="000000"/>
              </a:solidFill>
            </a:ln>
          </c:spPr>
          <c:marker>
            <c:symbol val="none"/>
          </c:marker>
          <c:xVal>
            <c:numRef>
              <c:f>'_SB Analysis'!$AB$289:$AC$289</c:f>
              <c:numCache>
                <c:formatCode>General</c:formatCode>
                <c:ptCount val="2"/>
                <c:pt idx="0">
                  <c:v>#N/A</c:v>
                </c:pt>
                <c:pt idx="1">
                  <c:v>#N/A</c:v>
                </c:pt>
              </c:numCache>
            </c:numRef>
          </c:xVal>
          <c:yVal>
            <c:numRef>
              <c:f>'_SB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F3CD-41FC-B803-CC3D2681A579}"/>
            </c:ext>
          </c:extLst>
        </c:ser>
        <c:ser>
          <c:idx val="79"/>
          <c:order val="41"/>
          <c:tx>
            <c:strRef>
              <c:f>'_SB Analysis'!$AA$288</c:f>
              <c:strCache>
                <c:ptCount val="1"/>
              </c:strCache>
            </c:strRef>
          </c:tx>
          <c:spPr>
            <a:ln w="12700">
              <a:solidFill>
                <a:srgbClr val="000000"/>
              </a:solidFill>
            </a:ln>
          </c:spPr>
          <c:marker>
            <c:symbol val="none"/>
          </c:marker>
          <c:xVal>
            <c:numRef>
              <c:f>'_SB Analysis'!$AB$288:$AC$288</c:f>
              <c:numCache>
                <c:formatCode>General</c:formatCode>
                <c:ptCount val="2"/>
                <c:pt idx="0">
                  <c:v>#N/A</c:v>
                </c:pt>
                <c:pt idx="1">
                  <c:v>#N/A</c:v>
                </c:pt>
              </c:numCache>
            </c:numRef>
          </c:xVal>
          <c:yVal>
            <c:numRef>
              <c:f>'_SB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F3CD-41FC-B803-CC3D2681A579}"/>
            </c:ext>
          </c:extLst>
        </c:ser>
        <c:ser>
          <c:idx val="78"/>
          <c:order val="42"/>
          <c:tx>
            <c:strRef>
              <c:f>'_SB Analysis'!$AA$287</c:f>
              <c:strCache>
                <c:ptCount val="1"/>
              </c:strCache>
            </c:strRef>
          </c:tx>
          <c:spPr>
            <a:ln w="12700">
              <a:solidFill>
                <a:srgbClr val="000000"/>
              </a:solidFill>
            </a:ln>
          </c:spPr>
          <c:marker>
            <c:symbol val="none"/>
          </c:marker>
          <c:xVal>
            <c:numRef>
              <c:f>'_SB Analysis'!$AB$287:$AC$287</c:f>
              <c:numCache>
                <c:formatCode>General</c:formatCode>
                <c:ptCount val="2"/>
                <c:pt idx="0">
                  <c:v>#N/A</c:v>
                </c:pt>
                <c:pt idx="1">
                  <c:v>#N/A</c:v>
                </c:pt>
              </c:numCache>
            </c:numRef>
          </c:xVal>
          <c:yVal>
            <c:numRef>
              <c:f>'_SB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F3CD-41FC-B803-CC3D2681A579}"/>
            </c:ext>
          </c:extLst>
        </c:ser>
        <c:ser>
          <c:idx val="77"/>
          <c:order val="43"/>
          <c:tx>
            <c:strRef>
              <c:f>'_SB Analysis'!$AA$286</c:f>
              <c:strCache>
                <c:ptCount val="1"/>
              </c:strCache>
            </c:strRef>
          </c:tx>
          <c:spPr>
            <a:ln w="12700">
              <a:solidFill>
                <a:srgbClr val="000000"/>
              </a:solidFill>
            </a:ln>
          </c:spPr>
          <c:marker>
            <c:symbol val="none"/>
          </c:marker>
          <c:xVal>
            <c:numRef>
              <c:f>'_SB Analysis'!$AB$286:$AC$286</c:f>
              <c:numCache>
                <c:formatCode>General</c:formatCode>
                <c:ptCount val="2"/>
                <c:pt idx="0">
                  <c:v>#N/A</c:v>
                </c:pt>
                <c:pt idx="1">
                  <c:v>#N/A</c:v>
                </c:pt>
              </c:numCache>
            </c:numRef>
          </c:xVal>
          <c:yVal>
            <c:numRef>
              <c:f>'_SB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F3CD-41FC-B803-CC3D2681A579}"/>
            </c:ext>
          </c:extLst>
        </c:ser>
        <c:ser>
          <c:idx val="76"/>
          <c:order val="44"/>
          <c:tx>
            <c:strRef>
              <c:f>'_SB Analysis'!$AA$285</c:f>
              <c:strCache>
                <c:ptCount val="1"/>
              </c:strCache>
            </c:strRef>
          </c:tx>
          <c:spPr>
            <a:ln w="12700">
              <a:solidFill>
                <a:srgbClr val="000000"/>
              </a:solidFill>
            </a:ln>
          </c:spPr>
          <c:marker>
            <c:symbol val="none"/>
          </c:marker>
          <c:xVal>
            <c:numRef>
              <c:f>'_SB Analysis'!$AB$285:$AC$285</c:f>
              <c:numCache>
                <c:formatCode>General</c:formatCode>
                <c:ptCount val="2"/>
                <c:pt idx="0">
                  <c:v>#N/A</c:v>
                </c:pt>
                <c:pt idx="1">
                  <c:v>#N/A</c:v>
                </c:pt>
              </c:numCache>
            </c:numRef>
          </c:xVal>
          <c:yVal>
            <c:numRef>
              <c:f>'_SB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F3CD-41FC-B803-CC3D2681A579}"/>
            </c:ext>
          </c:extLst>
        </c:ser>
        <c:ser>
          <c:idx val="75"/>
          <c:order val="45"/>
          <c:tx>
            <c:strRef>
              <c:f>'_SB Analysis'!$AA$284</c:f>
              <c:strCache>
                <c:ptCount val="1"/>
              </c:strCache>
            </c:strRef>
          </c:tx>
          <c:spPr>
            <a:ln w="12700">
              <a:solidFill>
                <a:srgbClr val="000000"/>
              </a:solidFill>
            </a:ln>
          </c:spPr>
          <c:marker>
            <c:symbol val="none"/>
          </c:marker>
          <c:xVal>
            <c:numRef>
              <c:f>'_SB Analysis'!$AB$284:$AC$284</c:f>
              <c:numCache>
                <c:formatCode>General</c:formatCode>
                <c:ptCount val="2"/>
                <c:pt idx="0">
                  <c:v>#N/A</c:v>
                </c:pt>
                <c:pt idx="1">
                  <c:v>#N/A</c:v>
                </c:pt>
              </c:numCache>
            </c:numRef>
          </c:xVal>
          <c:yVal>
            <c:numRef>
              <c:f>'_SB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F3CD-41FC-B803-CC3D2681A579}"/>
            </c:ext>
          </c:extLst>
        </c:ser>
        <c:ser>
          <c:idx val="74"/>
          <c:order val="46"/>
          <c:tx>
            <c:strRef>
              <c:f>'_SB Analysis'!$AA$283</c:f>
              <c:strCache>
                <c:ptCount val="1"/>
              </c:strCache>
            </c:strRef>
          </c:tx>
          <c:spPr>
            <a:ln w="12700">
              <a:solidFill>
                <a:srgbClr val="000000"/>
              </a:solidFill>
            </a:ln>
          </c:spPr>
          <c:marker>
            <c:symbol val="none"/>
          </c:marker>
          <c:xVal>
            <c:numRef>
              <c:f>'_SB Analysis'!$AB$283:$AC$283</c:f>
              <c:numCache>
                <c:formatCode>General</c:formatCode>
                <c:ptCount val="2"/>
                <c:pt idx="0">
                  <c:v>#N/A</c:v>
                </c:pt>
                <c:pt idx="1">
                  <c:v>#N/A</c:v>
                </c:pt>
              </c:numCache>
            </c:numRef>
          </c:xVal>
          <c:yVal>
            <c:numRef>
              <c:f>'_SB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F3CD-41FC-B803-CC3D2681A579}"/>
            </c:ext>
          </c:extLst>
        </c:ser>
        <c:ser>
          <c:idx val="73"/>
          <c:order val="47"/>
          <c:tx>
            <c:strRef>
              <c:f>'_SB Analysis'!$AA$282</c:f>
              <c:strCache>
                <c:ptCount val="1"/>
              </c:strCache>
            </c:strRef>
          </c:tx>
          <c:spPr>
            <a:ln w="12700">
              <a:solidFill>
                <a:srgbClr val="000000"/>
              </a:solidFill>
            </a:ln>
          </c:spPr>
          <c:marker>
            <c:symbol val="none"/>
          </c:marker>
          <c:xVal>
            <c:numRef>
              <c:f>'_SB Analysis'!$AB$282:$AC$282</c:f>
              <c:numCache>
                <c:formatCode>General</c:formatCode>
                <c:ptCount val="2"/>
                <c:pt idx="0">
                  <c:v>#N/A</c:v>
                </c:pt>
                <c:pt idx="1">
                  <c:v>#N/A</c:v>
                </c:pt>
              </c:numCache>
            </c:numRef>
          </c:xVal>
          <c:yVal>
            <c:numRef>
              <c:f>'_SB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F3CD-41FC-B803-CC3D2681A579}"/>
            </c:ext>
          </c:extLst>
        </c:ser>
        <c:ser>
          <c:idx val="72"/>
          <c:order val="48"/>
          <c:tx>
            <c:strRef>
              <c:f>'_SB Analysis'!$AA$281</c:f>
              <c:strCache>
                <c:ptCount val="1"/>
              </c:strCache>
            </c:strRef>
          </c:tx>
          <c:spPr>
            <a:ln w="12700">
              <a:solidFill>
                <a:srgbClr val="000000"/>
              </a:solidFill>
            </a:ln>
          </c:spPr>
          <c:marker>
            <c:symbol val="none"/>
          </c:marker>
          <c:xVal>
            <c:numRef>
              <c:f>'_SB Analysis'!$AB$281:$AC$281</c:f>
              <c:numCache>
                <c:formatCode>General</c:formatCode>
                <c:ptCount val="2"/>
                <c:pt idx="0">
                  <c:v>#N/A</c:v>
                </c:pt>
                <c:pt idx="1">
                  <c:v>#N/A</c:v>
                </c:pt>
              </c:numCache>
            </c:numRef>
          </c:xVal>
          <c:yVal>
            <c:numRef>
              <c:f>'_SB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F3CD-41FC-B803-CC3D2681A579}"/>
            </c:ext>
          </c:extLst>
        </c:ser>
        <c:ser>
          <c:idx val="71"/>
          <c:order val="49"/>
          <c:tx>
            <c:strRef>
              <c:f>'_SB Analysis'!$AA$280</c:f>
              <c:strCache>
                <c:ptCount val="1"/>
              </c:strCache>
            </c:strRef>
          </c:tx>
          <c:spPr>
            <a:ln w="12700">
              <a:solidFill>
                <a:srgbClr val="000000"/>
              </a:solidFill>
            </a:ln>
          </c:spPr>
          <c:marker>
            <c:symbol val="none"/>
          </c:marker>
          <c:xVal>
            <c:numRef>
              <c:f>'_SB Analysis'!$AB$280:$AC$280</c:f>
              <c:numCache>
                <c:formatCode>General</c:formatCode>
                <c:ptCount val="2"/>
                <c:pt idx="0">
                  <c:v>#N/A</c:v>
                </c:pt>
                <c:pt idx="1">
                  <c:v>#N/A</c:v>
                </c:pt>
              </c:numCache>
            </c:numRef>
          </c:xVal>
          <c:yVal>
            <c:numRef>
              <c:f>'_SB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F3CD-41FC-B803-CC3D2681A579}"/>
            </c:ext>
          </c:extLst>
        </c:ser>
        <c:ser>
          <c:idx val="70"/>
          <c:order val="50"/>
          <c:tx>
            <c:strRef>
              <c:f>'_SB Analysis'!$AA$279</c:f>
              <c:strCache>
                <c:ptCount val="1"/>
              </c:strCache>
            </c:strRef>
          </c:tx>
          <c:spPr>
            <a:ln w="12700">
              <a:solidFill>
                <a:srgbClr val="000000"/>
              </a:solidFill>
            </a:ln>
          </c:spPr>
          <c:marker>
            <c:symbol val="none"/>
          </c:marker>
          <c:xVal>
            <c:numRef>
              <c:f>'_SB Analysis'!$AB$279:$AC$279</c:f>
              <c:numCache>
                <c:formatCode>General</c:formatCode>
                <c:ptCount val="2"/>
                <c:pt idx="0">
                  <c:v>#N/A</c:v>
                </c:pt>
                <c:pt idx="1">
                  <c:v>#N/A</c:v>
                </c:pt>
              </c:numCache>
            </c:numRef>
          </c:xVal>
          <c:yVal>
            <c:numRef>
              <c:f>'_SB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F3CD-41FC-B803-CC3D2681A579}"/>
            </c:ext>
          </c:extLst>
        </c:ser>
        <c:ser>
          <c:idx val="69"/>
          <c:order val="51"/>
          <c:tx>
            <c:strRef>
              <c:f>'_SB Analysis'!$AA$278</c:f>
              <c:strCache>
                <c:ptCount val="1"/>
              </c:strCache>
            </c:strRef>
          </c:tx>
          <c:spPr>
            <a:ln w="12700">
              <a:solidFill>
                <a:srgbClr val="000000"/>
              </a:solidFill>
            </a:ln>
          </c:spPr>
          <c:marker>
            <c:symbol val="none"/>
          </c:marker>
          <c:xVal>
            <c:numRef>
              <c:f>'_SB Analysis'!$AB$278:$AC$278</c:f>
              <c:numCache>
                <c:formatCode>General</c:formatCode>
                <c:ptCount val="2"/>
                <c:pt idx="0">
                  <c:v>#N/A</c:v>
                </c:pt>
                <c:pt idx="1">
                  <c:v>#N/A</c:v>
                </c:pt>
              </c:numCache>
            </c:numRef>
          </c:xVal>
          <c:yVal>
            <c:numRef>
              <c:f>'_SB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F3CD-41FC-B803-CC3D2681A579}"/>
            </c:ext>
          </c:extLst>
        </c:ser>
        <c:ser>
          <c:idx val="68"/>
          <c:order val="52"/>
          <c:tx>
            <c:strRef>
              <c:f>'_SB Analysis'!$AA$277</c:f>
              <c:strCache>
                <c:ptCount val="1"/>
              </c:strCache>
            </c:strRef>
          </c:tx>
          <c:spPr>
            <a:ln w="12700">
              <a:solidFill>
                <a:srgbClr val="000000"/>
              </a:solidFill>
            </a:ln>
          </c:spPr>
          <c:marker>
            <c:symbol val="none"/>
          </c:marker>
          <c:xVal>
            <c:numRef>
              <c:f>'_SB Analysis'!$AB$277:$AC$277</c:f>
              <c:numCache>
                <c:formatCode>General</c:formatCode>
                <c:ptCount val="2"/>
                <c:pt idx="0">
                  <c:v>#N/A</c:v>
                </c:pt>
                <c:pt idx="1">
                  <c:v>#N/A</c:v>
                </c:pt>
              </c:numCache>
            </c:numRef>
          </c:xVal>
          <c:yVal>
            <c:numRef>
              <c:f>'_SB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F3CD-41FC-B803-CC3D2681A579}"/>
            </c:ext>
          </c:extLst>
        </c:ser>
        <c:ser>
          <c:idx val="67"/>
          <c:order val="53"/>
          <c:tx>
            <c:strRef>
              <c:f>'_SB Analysis'!$AA$276</c:f>
              <c:strCache>
                <c:ptCount val="1"/>
              </c:strCache>
            </c:strRef>
          </c:tx>
          <c:spPr>
            <a:ln w="12700">
              <a:solidFill>
                <a:srgbClr val="000000"/>
              </a:solidFill>
            </a:ln>
          </c:spPr>
          <c:marker>
            <c:symbol val="none"/>
          </c:marker>
          <c:xVal>
            <c:numRef>
              <c:f>'_SB Analysis'!$AB$276:$AC$276</c:f>
              <c:numCache>
                <c:formatCode>General</c:formatCode>
                <c:ptCount val="2"/>
                <c:pt idx="0">
                  <c:v>#N/A</c:v>
                </c:pt>
                <c:pt idx="1">
                  <c:v>#N/A</c:v>
                </c:pt>
              </c:numCache>
            </c:numRef>
          </c:xVal>
          <c:yVal>
            <c:numRef>
              <c:f>'_SB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F3CD-41FC-B803-CC3D2681A579}"/>
            </c:ext>
          </c:extLst>
        </c:ser>
        <c:ser>
          <c:idx val="66"/>
          <c:order val="54"/>
          <c:tx>
            <c:strRef>
              <c:f>'_SB Analysis'!$AA$275</c:f>
              <c:strCache>
                <c:ptCount val="1"/>
              </c:strCache>
            </c:strRef>
          </c:tx>
          <c:spPr>
            <a:ln w="12700">
              <a:solidFill>
                <a:srgbClr val="000000"/>
              </a:solidFill>
            </a:ln>
          </c:spPr>
          <c:marker>
            <c:symbol val="none"/>
          </c:marker>
          <c:xVal>
            <c:numRef>
              <c:f>'_SB Analysis'!$AB$275:$AC$275</c:f>
              <c:numCache>
                <c:formatCode>General</c:formatCode>
                <c:ptCount val="2"/>
                <c:pt idx="0">
                  <c:v>#N/A</c:v>
                </c:pt>
                <c:pt idx="1">
                  <c:v>#N/A</c:v>
                </c:pt>
              </c:numCache>
            </c:numRef>
          </c:xVal>
          <c:yVal>
            <c:numRef>
              <c:f>'_SB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F3CD-41FC-B803-CC3D2681A579}"/>
            </c:ext>
          </c:extLst>
        </c:ser>
        <c:ser>
          <c:idx val="65"/>
          <c:order val="55"/>
          <c:tx>
            <c:strRef>
              <c:f>'_SB Analysis'!$AA$274</c:f>
              <c:strCache>
                <c:ptCount val="1"/>
              </c:strCache>
            </c:strRef>
          </c:tx>
          <c:spPr>
            <a:ln w="12700">
              <a:solidFill>
                <a:srgbClr val="000000"/>
              </a:solidFill>
            </a:ln>
          </c:spPr>
          <c:marker>
            <c:symbol val="none"/>
          </c:marker>
          <c:xVal>
            <c:numRef>
              <c:f>'_SB Analysis'!$AB$274:$AC$274</c:f>
              <c:numCache>
                <c:formatCode>General</c:formatCode>
                <c:ptCount val="2"/>
                <c:pt idx="0">
                  <c:v>#N/A</c:v>
                </c:pt>
                <c:pt idx="1">
                  <c:v>#N/A</c:v>
                </c:pt>
              </c:numCache>
            </c:numRef>
          </c:xVal>
          <c:yVal>
            <c:numRef>
              <c:f>'_SB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F3CD-41FC-B803-CC3D2681A579}"/>
            </c:ext>
          </c:extLst>
        </c:ser>
        <c:ser>
          <c:idx val="64"/>
          <c:order val="56"/>
          <c:tx>
            <c:strRef>
              <c:f>'_SB Analysis'!$AA$273</c:f>
              <c:strCache>
                <c:ptCount val="1"/>
              </c:strCache>
            </c:strRef>
          </c:tx>
          <c:spPr>
            <a:ln w="12700">
              <a:solidFill>
                <a:srgbClr val="000000"/>
              </a:solidFill>
            </a:ln>
          </c:spPr>
          <c:marker>
            <c:symbol val="none"/>
          </c:marker>
          <c:xVal>
            <c:numRef>
              <c:f>'_SB Analysis'!$AB$273:$AC$273</c:f>
              <c:numCache>
                <c:formatCode>General</c:formatCode>
                <c:ptCount val="2"/>
                <c:pt idx="0">
                  <c:v>#N/A</c:v>
                </c:pt>
                <c:pt idx="1">
                  <c:v>#N/A</c:v>
                </c:pt>
              </c:numCache>
            </c:numRef>
          </c:xVal>
          <c:yVal>
            <c:numRef>
              <c:f>'_SB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F3CD-41FC-B803-CC3D2681A579}"/>
            </c:ext>
          </c:extLst>
        </c:ser>
        <c:ser>
          <c:idx val="63"/>
          <c:order val="57"/>
          <c:tx>
            <c:strRef>
              <c:f>'_SB Analysis'!$AA$272</c:f>
              <c:strCache>
                <c:ptCount val="1"/>
              </c:strCache>
            </c:strRef>
          </c:tx>
          <c:spPr>
            <a:ln w="12700">
              <a:solidFill>
                <a:srgbClr val="000000"/>
              </a:solidFill>
            </a:ln>
          </c:spPr>
          <c:marker>
            <c:symbol val="none"/>
          </c:marker>
          <c:xVal>
            <c:numRef>
              <c:f>'_SB Analysis'!$AB$272:$AC$272</c:f>
              <c:numCache>
                <c:formatCode>General</c:formatCode>
                <c:ptCount val="2"/>
                <c:pt idx="0">
                  <c:v>#N/A</c:v>
                </c:pt>
                <c:pt idx="1">
                  <c:v>#N/A</c:v>
                </c:pt>
              </c:numCache>
            </c:numRef>
          </c:xVal>
          <c:yVal>
            <c:numRef>
              <c:f>'_SB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F3CD-41FC-B803-CC3D2681A579}"/>
            </c:ext>
          </c:extLst>
        </c:ser>
        <c:ser>
          <c:idx val="62"/>
          <c:order val="58"/>
          <c:tx>
            <c:strRef>
              <c:f>'_SB Analysis'!$AA$271</c:f>
              <c:strCache>
                <c:ptCount val="1"/>
              </c:strCache>
            </c:strRef>
          </c:tx>
          <c:spPr>
            <a:ln w="12700">
              <a:solidFill>
                <a:srgbClr val="000000"/>
              </a:solidFill>
            </a:ln>
          </c:spPr>
          <c:marker>
            <c:symbol val="none"/>
          </c:marker>
          <c:xVal>
            <c:numRef>
              <c:f>'_SB Analysis'!$AB$271:$AC$271</c:f>
              <c:numCache>
                <c:formatCode>General</c:formatCode>
                <c:ptCount val="2"/>
                <c:pt idx="0">
                  <c:v>#N/A</c:v>
                </c:pt>
                <c:pt idx="1">
                  <c:v>#N/A</c:v>
                </c:pt>
              </c:numCache>
            </c:numRef>
          </c:xVal>
          <c:yVal>
            <c:numRef>
              <c:f>'_SB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F3CD-41FC-B803-CC3D2681A579}"/>
            </c:ext>
          </c:extLst>
        </c:ser>
        <c:ser>
          <c:idx val="61"/>
          <c:order val="59"/>
          <c:tx>
            <c:strRef>
              <c:f>'_SB Analysis'!$AA$270</c:f>
              <c:strCache>
                <c:ptCount val="1"/>
              </c:strCache>
            </c:strRef>
          </c:tx>
          <c:spPr>
            <a:ln w="12700">
              <a:solidFill>
                <a:srgbClr val="000000"/>
              </a:solidFill>
            </a:ln>
          </c:spPr>
          <c:marker>
            <c:symbol val="none"/>
          </c:marker>
          <c:xVal>
            <c:numRef>
              <c:f>'_SB Analysis'!$AB$270:$AC$270</c:f>
              <c:numCache>
                <c:formatCode>General</c:formatCode>
                <c:ptCount val="2"/>
                <c:pt idx="0">
                  <c:v>#N/A</c:v>
                </c:pt>
                <c:pt idx="1">
                  <c:v>#N/A</c:v>
                </c:pt>
              </c:numCache>
            </c:numRef>
          </c:xVal>
          <c:yVal>
            <c:numRef>
              <c:f>'_SB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F3CD-41FC-B803-CC3D2681A579}"/>
            </c:ext>
          </c:extLst>
        </c:ser>
        <c:ser>
          <c:idx val="60"/>
          <c:order val="60"/>
          <c:tx>
            <c:strRef>
              <c:f>'_SB Analysis'!$AA$269</c:f>
              <c:strCache>
                <c:ptCount val="1"/>
              </c:strCache>
            </c:strRef>
          </c:tx>
          <c:spPr>
            <a:ln w="12700">
              <a:solidFill>
                <a:srgbClr val="000000"/>
              </a:solidFill>
            </a:ln>
          </c:spPr>
          <c:marker>
            <c:symbol val="none"/>
          </c:marker>
          <c:xVal>
            <c:numRef>
              <c:f>'_SB Analysis'!$AB$269:$AC$269</c:f>
              <c:numCache>
                <c:formatCode>General</c:formatCode>
                <c:ptCount val="2"/>
                <c:pt idx="0">
                  <c:v>#N/A</c:v>
                </c:pt>
                <c:pt idx="1">
                  <c:v>#N/A</c:v>
                </c:pt>
              </c:numCache>
            </c:numRef>
          </c:xVal>
          <c:yVal>
            <c:numRef>
              <c:f>'_SB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F3CD-41FC-B803-CC3D2681A579}"/>
            </c:ext>
          </c:extLst>
        </c:ser>
        <c:ser>
          <c:idx val="59"/>
          <c:order val="61"/>
          <c:tx>
            <c:strRef>
              <c:f>'_SB Analysis'!$AA$268</c:f>
              <c:strCache>
                <c:ptCount val="1"/>
              </c:strCache>
            </c:strRef>
          </c:tx>
          <c:spPr>
            <a:ln w="12700">
              <a:solidFill>
                <a:srgbClr val="000000"/>
              </a:solidFill>
            </a:ln>
          </c:spPr>
          <c:marker>
            <c:symbol val="none"/>
          </c:marker>
          <c:xVal>
            <c:numRef>
              <c:f>'_SB Analysis'!$AB$268:$AC$268</c:f>
              <c:numCache>
                <c:formatCode>General</c:formatCode>
                <c:ptCount val="2"/>
                <c:pt idx="0">
                  <c:v>#N/A</c:v>
                </c:pt>
                <c:pt idx="1">
                  <c:v>#N/A</c:v>
                </c:pt>
              </c:numCache>
            </c:numRef>
          </c:xVal>
          <c:yVal>
            <c:numRef>
              <c:f>'_SB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F3CD-41FC-B803-CC3D2681A579}"/>
            </c:ext>
          </c:extLst>
        </c:ser>
        <c:ser>
          <c:idx val="58"/>
          <c:order val="62"/>
          <c:tx>
            <c:strRef>
              <c:f>'_SB Analysis'!$AA$267</c:f>
              <c:strCache>
                <c:ptCount val="1"/>
              </c:strCache>
            </c:strRef>
          </c:tx>
          <c:spPr>
            <a:ln w="12700">
              <a:solidFill>
                <a:srgbClr val="000000"/>
              </a:solidFill>
            </a:ln>
          </c:spPr>
          <c:marker>
            <c:symbol val="none"/>
          </c:marker>
          <c:xVal>
            <c:numRef>
              <c:f>'_SB Analysis'!$AB$267:$AC$267</c:f>
              <c:numCache>
                <c:formatCode>General</c:formatCode>
                <c:ptCount val="2"/>
                <c:pt idx="0">
                  <c:v>#N/A</c:v>
                </c:pt>
                <c:pt idx="1">
                  <c:v>#N/A</c:v>
                </c:pt>
              </c:numCache>
            </c:numRef>
          </c:xVal>
          <c:yVal>
            <c:numRef>
              <c:f>'_SB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F3CD-41FC-B803-CC3D2681A579}"/>
            </c:ext>
          </c:extLst>
        </c:ser>
        <c:ser>
          <c:idx val="57"/>
          <c:order val="63"/>
          <c:tx>
            <c:strRef>
              <c:f>'_SB Analysis'!$AA$266</c:f>
              <c:strCache>
                <c:ptCount val="1"/>
              </c:strCache>
            </c:strRef>
          </c:tx>
          <c:spPr>
            <a:ln w="12700">
              <a:solidFill>
                <a:srgbClr val="000000"/>
              </a:solidFill>
            </a:ln>
          </c:spPr>
          <c:marker>
            <c:symbol val="none"/>
          </c:marker>
          <c:xVal>
            <c:numRef>
              <c:f>'_SB Analysis'!$AB$266:$AC$266</c:f>
              <c:numCache>
                <c:formatCode>General</c:formatCode>
                <c:ptCount val="2"/>
                <c:pt idx="0">
                  <c:v>#N/A</c:v>
                </c:pt>
                <c:pt idx="1">
                  <c:v>#N/A</c:v>
                </c:pt>
              </c:numCache>
            </c:numRef>
          </c:xVal>
          <c:yVal>
            <c:numRef>
              <c:f>'_SB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F3CD-41FC-B803-CC3D2681A579}"/>
            </c:ext>
          </c:extLst>
        </c:ser>
        <c:ser>
          <c:idx val="56"/>
          <c:order val="64"/>
          <c:tx>
            <c:strRef>
              <c:f>'_SB Analysis'!$AA$265</c:f>
              <c:strCache>
                <c:ptCount val="1"/>
              </c:strCache>
            </c:strRef>
          </c:tx>
          <c:spPr>
            <a:ln w="12700">
              <a:solidFill>
                <a:srgbClr val="000000"/>
              </a:solidFill>
            </a:ln>
          </c:spPr>
          <c:marker>
            <c:symbol val="none"/>
          </c:marker>
          <c:xVal>
            <c:numRef>
              <c:f>'_SB Analysis'!$AB$265:$AC$265</c:f>
              <c:numCache>
                <c:formatCode>General</c:formatCode>
                <c:ptCount val="2"/>
                <c:pt idx="0">
                  <c:v>#N/A</c:v>
                </c:pt>
                <c:pt idx="1">
                  <c:v>#N/A</c:v>
                </c:pt>
              </c:numCache>
            </c:numRef>
          </c:xVal>
          <c:yVal>
            <c:numRef>
              <c:f>'_SB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F3CD-41FC-B803-CC3D2681A579}"/>
            </c:ext>
          </c:extLst>
        </c:ser>
        <c:ser>
          <c:idx val="55"/>
          <c:order val="65"/>
          <c:tx>
            <c:strRef>
              <c:f>'_SB Analysis'!$AA$264</c:f>
              <c:strCache>
                <c:ptCount val="1"/>
              </c:strCache>
            </c:strRef>
          </c:tx>
          <c:spPr>
            <a:ln w="12700">
              <a:solidFill>
                <a:srgbClr val="000000"/>
              </a:solidFill>
            </a:ln>
          </c:spPr>
          <c:marker>
            <c:symbol val="none"/>
          </c:marker>
          <c:xVal>
            <c:numRef>
              <c:f>'_SB Analysis'!$AB$264:$AC$264</c:f>
              <c:numCache>
                <c:formatCode>General</c:formatCode>
                <c:ptCount val="2"/>
                <c:pt idx="0">
                  <c:v>#N/A</c:v>
                </c:pt>
                <c:pt idx="1">
                  <c:v>#N/A</c:v>
                </c:pt>
              </c:numCache>
            </c:numRef>
          </c:xVal>
          <c:yVal>
            <c:numRef>
              <c:f>'_SB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F3CD-41FC-B803-CC3D2681A579}"/>
            </c:ext>
          </c:extLst>
        </c:ser>
        <c:ser>
          <c:idx val="54"/>
          <c:order val="66"/>
          <c:tx>
            <c:strRef>
              <c:f>'_SB Analysis'!$AA$263</c:f>
              <c:strCache>
                <c:ptCount val="1"/>
              </c:strCache>
            </c:strRef>
          </c:tx>
          <c:spPr>
            <a:ln w="12700">
              <a:solidFill>
                <a:srgbClr val="000000"/>
              </a:solidFill>
            </a:ln>
          </c:spPr>
          <c:marker>
            <c:symbol val="none"/>
          </c:marker>
          <c:xVal>
            <c:numRef>
              <c:f>'_SB Analysis'!$AB$263:$AC$263</c:f>
              <c:numCache>
                <c:formatCode>General</c:formatCode>
                <c:ptCount val="2"/>
                <c:pt idx="0">
                  <c:v>#N/A</c:v>
                </c:pt>
                <c:pt idx="1">
                  <c:v>#N/A</c:v>
                </c:pt>
              </c:numCache>
            </c:numRef>
          </c:xVal>
          <c:yVal>
            <c:numRef>
              <c:f>'_SB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F3CD-41FC-B803-CC3D2681A579}"/>
            </c:ext>
          </c:extLst>
        </c:ser>
        <c:ser>
          <c:idx val="53"/>
          <c:order val="67"/>
          <c:tx>
            <c:strRef>
              <c:f>'_SB Analysis'!$AA$262</c:f>
              <c:strCache>
                <c:ptCount val="1"/>
              </c:strCache>
            </c:strRef>
          </c:tx>
          <c:spPr>
            <a:ln w="12700">
              <a:solidFill>
                <a:srgbClr val="000000"/>
              </a:solidFill>
            </a:ln>
          </c:spPr>
          <c:marker>
            <c:symbol val="none"/>
          </c:marker>
          <c:xVal>
            <c:numRef>
              <c:f>'_SB Analysis'!$AB$262:$AC$262</c:f>
              <c:numCache>
                <c:formatCode>General</c:formatCode>
                <c:ptCount val="2"/>
                <c:pt idx="0">
                  <c:v>#N/A</c:v>
                </c:pt>
                <c:pt idx="1">
                  <c:v>#N/A</c:v>
                </c:pt>
              </c:numCache>
            </c:numRef>
          </c:xVal>
          <c:yVal>
            <c:numRef>
              <c:f>'_SB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F3CD-41FC-B803-CC3D2681A579}"/>
            </c:ext>
          </c:extLst>
        </c:ser>
        <c:ser>
          <c:idx val="52"/>
          <c:order val="68"/>
          <c:tx>
            <c:strRef>
              <c:f>'_SB Analysis'!$AA$261</c:f>
              <c:strCache>
                <c:ptCount val="1"/>
              </c:strCache>
            </c:strRef>
          </c:tx>
          <c:spPr>
            <a:ln w="12700">
              <a:solidFill>
                <a:srgbClr val="000000"/>
              </a:solidFill>
            </a:ln>
          </c:spPr>
          <c:marker>
            <c:symbol val="none"/>
          </c:marker>
          <c:xVal>
            <c:numRef>
              <c:f>'_SB Analysis'!$AB$261:$AC$261</c:f>
              <c:numCache>
                <c:formatCode>General</c:formatCode>
                <c:ptCount val="2"/>
                <c:pt idx="0">
                  <c:v>#N/A</c:v>
                </c:pt>
                <c:pt idx="1">
                  <c:v>#N/A</c:v>
                </c:pt>
              </c:numCache>
            </c:numRef>
          </c:xVal>
          <c:yVal>
            <c:numRef>
              <c:f>'_SB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F3CD-41FC-B803-CC3D2681A579}"/>
            </c:ext>
          </c:extLst>
        </c:ser>
        <c:ser>
          <c:idx val="51"/>
          <c:order val="69"/>
          <c:tx>
            <c:strRef>
              <c:f>'_SB Analysis'!$AA$260</c:f>
              <c:strCache>
                <c:ptCount val="1"/>
              </c:strCache>
            </c:strRef>
          </c:tx>
          <c:spPr>
            <a:ln w="12700">
              <a:solidFill>
                <a:srgbClr val="000000"/>
              </a:solidFill>
            </a:ln>
          </c:spPr>
          <c:marker>
            <c:symbol val="none"/>
          </c:marker>
          <c:xVal>
            <c:numRef>
              <c:f>'_SB Analysis'!$AB$260:$AC$260</c:f>
              <c:numCache>
                <c:formatCode>General</c:formatCode>
                <c:ptCount val="2"/>
                <c:pt idx="0">
                  <c:v>#N/A</c:v>
                </c:pt>
                <c:pt idx="1">
                  <c:v>#N/A</c:v>
                </c:pt>
              </c:numCache>
            </c:numRef>
          </c:xVal>
          <c:yVal>
            <c:numRef>
              <c:f>'_SB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F3CD-41FC-B803-CC3D2681A579}"/>
            </c:ext>
          </c:extLst>
        </c:ser>
        <c:ser>
          <c:idx val="0"/>
          <c:order val="70"/>
          <c:spPr>
            <a:ln w="12700">
              <a:solidFill>
                <a:srgbClr val="000000"/>
              </a:solidFill>
              <a:prstDash val="solid"/>
            </a:ln>
          </c:spPr>
          <c:marker>
            <c:symbol val="none"/>
          </c:marker>
          <c:xVal>
            <c:strRef>
              <c:f>'_SB Analysis'!$AA$200:$AA$204</c:f>
              <c:strCache>
                <c:ptCount val="5"/>
                <c:pt idx="0">
                  <c:v>0</c:v>
                </c:pt>
                <c:pt idx="3">
                  <c:v>0</c:v>
                </c:pt>
                <c:pt idx="4">
                  <c:v>0</c:v>
                </c:pt>
              </c:strCache>
            </c:strRef>
          </c:xVal>
          <c:yVal>
            <c:numRef>
              <c:f>'_SB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F3CD-41FC-B803-CC3D2681A579}"/>
            </c:ext>
          </c:extLst>
        </c:ser>
        <c:ser>
          <c:idx val="1"/>
          <c:order val="71"/>
          <c:tx>
            <c:strRef>
              <c:f>'_SB Analysis'!$AA$210</c:f>
              <c:strCache>
                <c:ptCount val="1"/>
              </c:strCache>
            </c:strRef>
          </c:tx>
          <c:spPr>
            <a:ln w="12700">
              <a:solidFill>
                <a:srgbClr val="000000"/>
              </a:solidFill>
            </a:ln>
          </c:spPr>
          <c:marker>
            <c:symbol val="none"/>
          </c:marker>
          <c:xVal>
            <c:numRef>
              <c:f>'_SB Analysis'!$AB$210:$AC$210</c:f>
              <c:numCache>
                <c:formatCode>General</c:formatCode>
                <c:ptCount val="2"/>
                <c:pt idx="0">
                  <c:v>#N/A</c:v>
                </c:pt>
                <c:pt idx="1">
                  <c:v>#N/A</c:v>
                </c:pt>
              </c:numCache>
            </c:numRef>
          </c:xVal>
          <c:yVal>
            <c:numRef>
              <c:f>'_SB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F3CD-41FC-B803-CC3D2681A579}"/>
            </c:ext>
          </c:extLst>
        </c:ser>
        <c:ser>
          <c:idx val="2"/>
          <c:order val="72"/>
          <c:tx>
            <c:strRef>
              <c:f>'_SB Analysis'!$AA$211</c:f>
              <c:strCache>
                <c:ptCount val="1"/>
              </c:strCache>
            </c:strRef>
          </c:tx>
          <c:spPr>
            <a:ln w="12700">
              <a:solidFill>
                <a:srgbClr val="000000"/>
              </a:solidFill>
            </a:ln>
          </c:spPr>
          <c:marker>
            <c:symbol val="none"/>
          </c:marker>
          <c:xVal>
            <c:numRef>
              <c:f>'_SB Analysis'!$AB$211:$AC$211</c:f>
              <c:numCache>
                <c:formatCode>General</c:formatCode>
                <c:ptCount val="2"/>
                <c:pt idx="0">
                  <c:v>#N/A</c:v>
                </c:pt>
                <c:pt idx="1">
                  <c:v>#N/A</c:v>
                </c:pt>
              </c:numCache>
            </c:numRef>
          </c:xVal>
          <c:yVal>
            <c:numRef>
              <c:f>'_SB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F3CD-41FC-B803-CC3D2681A579}"/>
            </c:ext>
          </c:extLst>
        </c:ser>
        <c:ser>
          <c:idx val="3"/>
          <c:order val="73"/>
          <c:tx>
            <c:strRef>
              <c:f>'_SB Analysis'!$AA$212</c:f>
              <c:strCache>
                <c:ptCount val="1"/>
              </c:strCache>
            </c:strRef>
          </c:tx>
          <c:spPr>
            <a:ln w="12700">
              <a:solidFill>
                <a:srgbClr val="000000"/>
              </a:solidFill>
            </a:ln>
          </c:spPr>
          <c:marker>
            <c:symbol val="none"/>
          </c:marker>
          <c:xVal>
            <c:numRef>
              <c:f>'_SB Analysis'!$AB$212:$AC$212</c:f>
              <c:numCache>
                <c:formatCode>General</c:formatCode>
                <c:ptCount val="2"/>
                <c:pt idx="0">
                  <c:v>#N/A</c:v>
                </c:pt>
                <c:pt idx="1">
                  <c:v>#N/A</c:v>
                </c:pt>
              </c:numCache>
            </c:numRef>
          </c:xVal>
          <c:yVal>
            <c:numRef>
              <c:f>'_SB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F3CD-41FC-B803-CC3D2681A579}"/>
            </c:ext>
          </c:extLst>
        </c:ser>
        <c:ser>
          <c:idx val="4"/>
          <c:order val="74"/>
          <c:tx>
            <c:strRef>
              <c:f>'_SB Analysis'!$AA$213</c:f>
              <c:strCache>
                <c:ptCount val="1"/>
              </c:strCache>
            </c:strRef>
          </c:tx>
          <c:spPr>
            <a:ln w="12700">
              <a:solidFill>
                <a:srgbClr val="000000"/>
              </a:solidFill>
            </a:ln>
          </c:spPr>
          <c:marker>
            <c:symbol val="none"/>
          </c:marker>
          <c:xVal>
            <c:numRef>
              <c:f>'_SB Analysis'!$AB$213:$AC$213</c:f>
              <c:numCache>
                <c:formatCode>General</c:formatCode>
                <c:ptCount val="2"/>
                <c:pt idx="0">
                  <c:v>#N/A</c:v>
                </c:pt>
                <c:pt idx="1">
                  <c:v>#N/A</c:v>
                </c:pt>
              </c:numCache>
            </c:numRef>
          </c:xVal>
          <c:yVal>
            <c:numRef>
              <c:f>'_SB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F3CD-41FC-B803-CC3D2681A579}"/>
            </c:ext>
          </c:extLst>
        </c:ser>
        <c:ser>
          <c:idx val="5"/>
          <c:order val="75"/>
          <c:tx>
            <c:strRef>
              <c:f>'_SB Analysis'!$AA$214</c:f>
              <c:strCache>
                <c:ptCount val="1"/>
              </c:strCache>
            </c:strRef>
          </c:tx>
          <c:spPr>
            <a:ln w="12700">
              <a:solidFill>
                <a:srgbClr val="000000"/>
              </a:solidFill>
            </a:ln>
          </c:spPr>
          <c:marker>
            <c:symbol val="none"/>
          </c:marker>
          <c:xVal>
            <c:numRef>
              <c:f>'_SB Analysis'!$AB$214:$AC$214</c:f>
              <c:numCache>
                <c:formatCode>General</c:formatCode>
                <c:ptCount val="2"/>
                <c:pt idx="0">
                  <c:v>#N/A</c:v>
                </c:pt>
                <c:pt idx="1">
                  <c:v>#N/A</c:v>
                </c:pt>
              </c:numCache>
            </c:numRef>
          </c:xVal>
          <c:yVal>
            <c:numRef>
              <c:f>'_SB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F3CD-41FC-B803-CC3D2681A579}"/>
            </c:ext>
          </c:extLst>
        </c:ser>
        <c:ser>
          <c:idx val="6"/>
          <c:order val="76"/>
          <c:tx>
            <c:strRef>
              <c:f>'_SB Analysis'!$AA$215</c:f>
              <c:strCache>
                <c:ptCount val="1"/>
              </c:strCache>
            </c:strRef>
          </c:tx>
          <c:spPr>
            <a:ln w="12700">
              <a:solidFill>
                <a:srgbClr val="000000"/>
              </a:solidFill>
            </a:ln>
          </c:spPr>
          <c:marker>
            <c:symbol val="none"/>
          </c:marker>
          <c:xVal>
            <c:numRef>
              <c:f>'_SB Analysis'!$AB$215:$AC$215</c:f>
              <c:numCache>
                <c:formatCode>General</c:formatCode>
                <c:ptCount val="2"/>
                <c:pt idx="0">
                  <c:v>#N/A</c:v>
                </c:pt>
                <c:pt idx="1">
                  <c:v>#N/A</c:v>
                </c:pt>
              </c:numCache>
            </c:numRef>
          </c:xVal>
          <c:yVal>
            <c:numRef>
              <c:f>'_SB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F3CD-41FC-B803-CC3D2681A579}"/>
            </c:ext>
          </c:extLst>
        </c:ser>
        <c:ser>
          <c:idx val="7"/>
          <c:order val="77"/>
          <c:tx>
            <c:strRef>
              <c:f>'_SB Analysis'!$AA$216</c:f>
              <c:strCache>
                <c:ptCount val="1"/>
              </c:strCache>
            </c:strRef>
          </c:tx>
          <c:spPr>
            <a:ln w="12700">
              <a:solidFill>
                <a:srgbClr val="000000"/>
              </a:solidFill>
            </a:ln>
          </c:spPr>
          <c:marker>
            <c:symbol val="none"/>
          </c:marker>
          <c:xVal>
            <c:numRef>
              <c:f>'_SB Analysis'!$AB$216:$AC$216</c:f>
              <c:numCache>
                <c:formatCode>General</c:formatCode>
                <c:ptCount val="2"/>
                <c:pt idx="0">
                  <c:v>#N/A</c:v>
                </c:pt>
                <c:pt idx="1">
                  <c:v>#N/A</c:v>
                </c:pt>
              </c:numCache>
            </c:numRef>
          </c:xVal>
          <c:yVal>
            <c:numRef>
              <c:f>'_SB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F3CD-41FC-B803-CC3D2681A579}"/>
            </c:ext>
          </c:extLst>
        </c:ser>
        <c:ser>
          <c:idx val="8"/>
          <c:order val="78"/>
          <c:tx>
            <c:strRef>
              <c:f>'_SB Analysis'!$AA$217</c:f>
              <c:strCache>
                <c:ptCount val="1"/>
              </c:strCache>
            </c:strRef>
          </c:tx>
          <c:spPr>
            <a:ln w="12700">
              <a:solidFill>
                <a:srgbClr val="000000"/>
              </a:solidFill>
            </a:ln>
          </c:spPr>
          <c:marker>
            <c:symbol val="none"/>
          </c:marker>
          <c:xVal>
            <c:numRef>
              <c:f>'_SB Analysis'!$AB$217:$AC$217</c:f>
              <c:numCache>
                <c:formatCode>General</c:formatCode>
                <c:ptCount val="2"/>
                <c:pt idx="0">
                  <c:v>#N/A</c:v>
                </c:pt>
                <c:pt idx="1">
                  <c:v>#N/A</c:v>
                </c:pt>
              </c:numCache>
            </c:numRef>
          </c:xVal>
          <c:yVal>
            <c:numRef>
              <c:f>'_SB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F3CD-41FC-B803-CC3D2681A579}"/>
            </c:ext>
          </c:extLst>
        </c:ser>
        <c:ser>
          <c:idx val="9"/>
          <c:order val="79"/>
          <c:tx>
            <c:strRef>
              <c:f>'_SB Analysis'!$AA$218</c:f>
              <c:strCache>
                <c:ptCount val="1"/>
              </c:strCache>
            </c:strRef>
          </c:tx>
          <c:spPr>
            <a:ln w="12700">
              <a:solidFill>
                <a:srgbClr val="000000"/>
              </a:solidFill>
            </a:ln>
          </c:spPr>
          <c:marker>
            <c:symbol val="none"/>
          </c:marker>
          <c:xVal>
            <c:numRef>
              <c:f>'_SB Analysis'!$AB$218:$AC$218</c:f>
              <c:numCache>
                <c:formatCode>General</c:formatCode>
                <c:ptCount val="2"/>
                <c:pt idx="0">
                  <c:v>#N/A</c:v>
                </c:pt>
                <c:pt idx="1">
                  <c:v>#N/A</c:v>
                </c:pt>
              </c:numCache>
            </c:numRef>
          </c:xVal>
          <c:yVal>
            <c:numRef>
              <c:f>'_SB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F3CD-41FC-B803-CC3D2681A579}"/>
            </c:ext>
          </c:extLst>
        </c:ser>
        <c:ser>
          <c:idx val="10"/>
          <c:order val="80"/>
          <c:tx>
            <c:strRef>
              <c:f>'_SB Analysis'!$AA$219</c:f>
              <c:strCache>
                <c:ptCount val="1"/>
              </c:strCache>
            </c:strRef>
          </c:tx>
          <c:spPr>
            <a:ln w="12700">
              <a:solidFill>
                <a:srgbClr val="000000"/>
              </a:solidFill>
            </a:ln>
          </c:spPr>
          <c:marker>
            <c:symbol val="none"/>
          </c:marker>
          <c:xVal>
            <c:numRef>
              <c:f>'_SB Analysis'!$AB$219:$AC$219</c:f>
              <c:numCache>
                <c:formatCode>General</c:formatCode>
                <c:ptCount val="2"/>
                <c:pt idx="0">
                  <c:v>#N/A</c:v>
                </c:pt>
                <c:pt idx="1">
                  <c:v>#N/A</c:v>
                </c:pt>
              </c:numCache>
            </c:numRef>
          </c:xVal>
          <c:yVal>
            <c:numRef>
              <c:f>'_SB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F3CD-41FC-B803-CC3D2681A579}"/>
            </c:ext>
          </c:extLst>
        </c:ser>
        <c:ser>
          <c:idx val="11"/>
          <c:order val="81"/>
          <c:tx>
            <c:strRef>
              <c:f>'_SB Analysis'!$AA$220</c:f>
              <c:strCache>
                <c:ptCount val="1"/>
              </c:strCache>
            </c:strRef>
          </c:tx>
          <c:spPr>
            <a:ln w="12700">
              <a:solidFill>
                <a:srgbClr val="000000"/>
              </a:solidFill>
            </a:ln>
          </c:spPr>
          <c:marker>
            <c:symbol val="none"/>
          </c:marker>
          <c:xVal>
            <c:numRef>
              <c:f>'_SB Analysis'!$AB$220:$AC$220</c:f>
              <c:numCache>
                <c:formatCode>General</c:formatCode>
                <c:ptCount val="2"/>
                <c:pt idx="0">
                  <c:v>#N/A</c:v>
                </c:pt>
                <c:pt idx="1">
                  <c:v>#N/A</c:v>
                </c:pt>
              </c:numCache>
            </c:numRef>
          </c:xVal>
          <c:yVal>
            <c:numRef>
              <c:f>'_SB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F3CD-41FC-B803-CC3D2681A579}"/>
            </c:ext>
          </c:extLst>
        </c:ser>
        <c:ser>
          <c:idx val="12"/>
          <c:order val="82"/>
          <c:tx>
            <c:strRef>
              <c:f>'_SB Analysis'!$AA$221</c:f>
              <c:strCache>
                <c:ptCount val="1"/>
              </c:strCache>
            </c:strRef>
          </c:tx>
          <c:spPr>
            <a:ln w="12700">
              <a:solidFill>
                <a:srgbClr val="000000"/>
              </a:solidFill>
            </a:ln>
          </c:spPr>
          <c:marker>
            <c:symbol val="none"/>
          </c:marker>
          <c:xVal>
            <c:numRef>
              <c:f>'_SB Analysis'!$AB$221:$AC$221</c:f>
              <c:numCache>
                <c:formatCode>General</c:formatCode>
                <c:ptCount val="2"/>
                <c:pt idx="0">
                  <c:v>#N/A</c:v>
                </c:pt>
                <c:pt idx="1">
                  <c:v>#N/A</c:v>
                </c:pt>
              </c:numCache>
            </c:numRef>
          </c:xVal>
          <c:yVal>
            <c:numRef>
              <c:f>'_SB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F3CD-41FC-B803-CC3D2681A579}"/>
            </c:ext>
          </c:extLst>
        </c:ser>
        <c:ser>
          <c:idx val="13"/>
          <c:order val="83"/>
          <c:tx>
            <c:strRef>
              <c:f>'_SB Analysis'!$AA$222</c:f>
              <c:strCache>
                <c:ptCount val="1"/>
              </c:strCache>
            </c:strRef>
          </c:tx>
          <c:spPr>
            <a:ln w="12700">
              <a:solidFill>
                <a:srgbClr val="000000"/>
              </a:solidFill>
            </a:ln>
          </c:spPr>
          <c:marker>
            <c:symbol val="none"/>
          </c:marker>
          <c:xVal>
            <c:numRef>
              <c:f>'_SB Analysis'!$AB$222:$AC$222</c:f>
              <c:numCache>
                <c:formatCode>General</c:formatCode>
                <c:ptCount val="2"/>
                <c:pt idx="0">
                  <c:v>#N/A</c:v>
                </c:pt>
                <c:pt idx="1">
                  <c:v>#N/A</c:v>
                </c:pt>
              </c:numCache>
            </c:numRef>
          </c:xVal>
          <c:yVal>
            <c:numRef>
              <c:f>'_SB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F3CD-41FC-B803-CC3D2681A579}"/>
            </c:ext>
          </c:extLst>
        </c:ser>
        <c:ser>
          <c:idx val="14"/>
          <c:order val="84"/>
          <c:tx>
            <c:strRef>
              <c:f>'_SB Analysis'!$AA$223</c:f>
              <c:strCache>
                <c:ptCount val="1"/>
              </c:strCache>
            </c:strRef>
          </c:tx>
          <c:spPr>
            <a:ln w="12700">
              <a:solidFill>
                <a:srgbClr val="000000"/>
              </a:solidFill>
            </a:ln>
          </c:spPr>
          <c:marker>
            <c:symbol val="none"/>
          </c:marker>
          <c:xVal>
            <c:numRef>
              <c:f>'_SB Analysis'!$AB$223:$AC$223</c:f>
              <c:numCache>
                <c:formatCode>General</c:formatCode>
                <c:ptCount val="2"/>
                <c:pt idx="0">
                  <c:v>#N/A</c:v>
                </c:pt>
                <c:pt idx="1">
                  <c:v>#N/A</c:v>
                </c:pt>
              </c:numCache>
            </c:numRef>
          </c:xVal>
          <c:yVal>
            <c:numRef>
              <c:f>'_SB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F3CD-41FC-B803-CC3D2681A579}"/>
            </c:ext>
          </c:extLst>
        </c:ser>
        <c:ser>
          <c:idx val="15"/>
          <c:order val="85"/>
          <c:tx>
            <c:strRef>
              <c:f>'_SB Analysis'!$AA$224</c:f>
              <c:strCache>
                <c:ptCount val="1"/>
              </c:strCache>
            </c:strRef>
          </c:tx>
          <c:spPr>
            <a:ln w="12700">
              <a:solidFill>
                <a:srgbClr val="000000"/>
              </a:solidFill>
            </a:ln>
          </c:spPr>
          <c:marker>
            <c:symbol val="none"/>
          </c:marker>
          <c:xVal>
            <c:numRef>
              <c:f>'_SB Analysis'!$AB$224:$AC$224</c:f>
              <c:numCache>
                <c:formatCode>General</c:formatCode>
                <c:ptCount val="2"/>
                <c:pt idx="0">
                  <c:v>#N/A</c:v>
                </c:pt>
                <c:pt idx="1">
                  <c:v>#N/A</c:v>
                </c:pt>
              </c:numCache>
            </c:numRef>
          </c:xVal>
          <c:yVal>
            <c:numRef>
              <c:f>'_SB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F3CD-41FC-B803-CC3D2681A579}"/>
            </c:ext>
          </c:extLst>
        </c:ser>
        <c:ser>
          <c:idx val="16"/>
          <c:order val="86"/>
          <c:tx>
            <c:strRef>
              <c:f>'_SB Analysis'!$AA$225</c:f>
              <c:strCache>
                <c:ptCount val="1"/>
              </c:strCache>
            </c:strRef>
          </c:tx>
          <c:spPr>
            <a:ln w="12700">
              <a:solidFill>
                <a:srgbClr val="000000"/>
              </a:solidFill>
            </a:ln>
          </c:spPr>
          <c:marker>
            <c:symbol val="none"/>
          </c:marker>
          <c:xVal>
            <c:numRef>
              <c:f>'_SB Analysis'!$AB$225:$AC$225</c:f>
              <c:numCache>
                <c:formatCode>General</c:formatCode>
                <c:ptCount val="2"/>
                <c:pt idx="0">
                  <c:v>#N/A</c:v>
                </c:pt>
                <c:pt idx="1">
                  <c:v>#N/A</c:v>
                </c:pt>
              </c:numCache>
            </c:numRef>
          </c:xVal>
          <c:yVal>
            <c:numRef>
              <c:f>'_SB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F3CD-41FC-B803-CC3D2681A579}"/>
            </c:ext>
          </c:extLst>
        </c:ser>
        <c:ser>
          <c:idx val="17"/>
          <c:order val="87"/>
          <c:tx>
            <c:strRef>
              <c:f>'_SB Analysis'!$AA$226</c:f>
              <c:strCache>
                <c:ptCount val="1"/>
              </c:strCache>
            </c:strRef>
          </c:tx>
          <c:spPr>
            <a:ln w="12700">
              <a:solidFill>
                <a:srgbClr val="000000"/>
              </a:solidFill>
            </a:ln>
          </c:spPr>
          <c:marker>
            <c:symbol val="none"/>
          </c:marker>
          <c:xVal>
            <c:numRef>
              <c:f>'_SB Analysis'!$AB$226:$AC$226</c:f>
              <c:numCache>
                <c:formatCode>General</c:formatCode>
                <c:ptCount val="2"/>
                <c:pt idx="0">
                  <c:v>#N/A</c:v>
                </c:pt>
                <c:pt idx="1">
                  <c:v>#N/A</c:v>
                </c:pt>
              </c:numCache>
            </c:numRef>
          </c:xVal>
          <c:yVal>
            <c:numRef>
              <c:f>'_SB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F3CD-41FC-B803-CC3D2681A579}"/>
            </c:ext>
          </c:extLst>
        </c:ser>
        <c:ser>
          <c:idx val="18"/>
          <c:order val="88"/>
          <c:tx>
            <c:strRef>
              <c:f>'_SB Analysis'!$AA$227</c:f>
              <c:strCache>
                <c:ptCount val="1"/>
              </c:strCache>
            </c:strRef>
          </c:tx>
          <c:spPr>
            <a:ln w="12700">
              <a:solidFill>
                <a:srgbClr val="000000"/>
              </a:solidFill>
            </a:ln>
          </c:spPr>
          <c:marker>
            <c:symbol val="none"/>
          </c:marker>
          <c:xVal>
            <c:numRef>
              <c:f>'_SB Analysis'!$AB$227:$AC$227</c:f>
              <c:numCache>
                <c:formatCode>General</c:formatCode>
                <c:ptCount val="2"/>
                <c:pt idx="0">
                  <c:v>#N/A</c:v>
                </c:pt>
                <c:pt idx="1">
                  <c:v>#N/A</c:v>
                </c:pt>
              </c:numCache>
            </c:numRef>
          </c:xVal>
          <c:yVal>
            <c:numRef>
              <c:f>'_SB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F3CD-41FC-B803-CC3D2681A579}"/>
            </c:ext>
          </c:extLst>
        </c:ser>
        <c:ser>
          <c:idx val="19"/>
          <c:order val="89"/>
          <c:tx>
            <c:strRef>
              <c:f>'_SB Analysis'!$AA$228</c:f>
              <c:strCache>
                <c:ptCount val="1"/>
              </c:strCache>
            </c:strRef>
          </c:tx>
          <c:spPr>
            <a:ln w="12700">
              <a:solidFill>
                <a:srgbClr val="000000"/>
              </a:solidFill>
            </a:ln>
          </c:spPr>
          <c:marker>
            <c:symbol val="none"/>
          </c:marker>
          <c:xVal>
            <c:numRef>
              <c:f>'_SB Analysis'!$AB$228:$AC$228</c:f>
              <c:numCache>
                <c:formatCode>General</c:formatCode>
                <c:ptCount val="2"/>
                <c:pt idx="0">
                  <c:v>#N/A</c:v>
                </c:pt>
                <c:pt idx="1">
                  <c:v>#N/A</c:v>
                </c:pt>
              </c:numCache>
            </c:numRef>
          </c:xVal>
          <c:yVal>
            <c:numRef>
              <c:f>'_SB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F3CD-41FC-B803-CC3D2681A579}"/>
            </c:ext>
          </c:extLst>
        </c:ser>
        <c:ser>
          <c:idx val="20"/>
          <c:order val="90"/>
          <c:tx>
            <c:strRef>
              <c:f>'_SB Analysis'!$AA$229</c:f>
              <c:strCache>
                <c:ptCount val="1"/>
              </c:strCache>
            </c:strRef>
          </c:tx>
          <c:spPr>
            <a:ln w="12700">
              <a:solidFill>
                <a:srgbClr val="000000"/>
              </a:solidFill>
            </a:ln>
          </c:spPr>
          <c:marker>
            <c:symbol val="none"/>
          </c:marker>
          <c:xVal>
            <c:numRef>
              <c:f>'_SB Analysis'!$AB$229:$AC$229</c:f>
              <c:numCache>
                <c:formatCode>General</c:formatCode>
                <c:ptCount val="2"/>
                <c:pt idx="0">
                  <c:v>#N/A</c:v>
                </c:pt>
                <c:pt idx="1">
                  <c:v>#N/A</c:v>
                </c:pt>
              </c:numCache>
            </c:numRef>
          </c:xVal>
          <c:yVal>
            <c:numRef>
              <c:f>'_SB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F3CD-41FC-B803-CC3D2681A579}"/>
            </c:ext>
          </c:extLst>
        </c:ser>
        <c:ser>
          <c:idx val="21"/>
          <c:order val="91"/>
          <c:tx>
            <c:strRef>
              <c:f>'_SB Analysis'!$AA$230</c:f>
              <c:strCache>
                <c:ptCount val="1"/>
              </c:strCache>
            </c:strRef>
          </c:tx>
          <c:spPr>
            <a:ln w="12700">
              <a:solidFill>
                <a:srgbClr val="000000"/>
              </a:solidFill>
            </a:ln>
          </c:spPr>
          <c:marker>
            <c:symbol val="none"/>
          </c:marker>
          <c:xVal>
            <c:numRef>
              <c:f>'_SB Analysis'!$AB$230:$AC$230</c:f>
              <c:numCache>
                <c:formatCode>General</c:formatCode>
                <c:ptCount val="2"/>
                <c:pt idx="0">
                  <c:v>#N/A</c:v>
                </c:pt>
                <c:pt idx="1">
                  <c:v>#N/A</c:v>
                </c:pt>
              </c:numCache>
            </c:numRef>
          </c:xVal>
          <c:yVal>
            <c:numRef>
              <c:f>'_SB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F3CD-41FC-B803-CC3D2681A579}"/>
            </c:ext>
          </c:extLst>
        </c:ser>
        <c:ser>
          <c:idx val="22"/>
          <c:order val="92"/>
          <c:tx>
            <c:strRef>
              <c:f>'_SB Analysis'!$AA$231</c:f>
              <c:strCache>
                <c:ptCount val="1"/>
              </c:strCache>
            </c:strRef>
          </c:tx>
          <c:spPr>
            <a:ln w="12700">
              <a:solidFill>
                <a:srgbClr val="000000"/>
              </a:solidFill>
            </a:ln>
          </c:spPr>
          <c:marker>
            <c:symbol val="none"/>
          </c:marker>
          <c:xVal>
            <c:numRef>
              <c:f>'_SB Analysis'!$AB$231:$AC$231</c:f>
              <c:numCache>
                <c:formatCode>General</c:formatCode>
                <c:ptCount val="2"/>
                <c:pt idx="0">
                  <c:v>#N/A</c:v>
                </c:pt>
                <c:pt idx="1">
                  <c:v>#N/A</c:v>
                </c:pt>
              </c:numCache>
            </c:numRef>
          </c:xVal>
          <c:yVal>
            <c:numRef>
              <c:f>'_SB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F3CD-41FC-B803-CC3D2681A579}"/>
            </c:ext>
          </c:extLst>
        </c:ser>
        <c:ser>
          <c:idx val="23"/>
          <c:order val="93"/>
          <c:tx>
            <c:strRef>
              <c:f>'_SB Analysis'!$AA$232</c:f>
              <c:strCache>
                <c:ptCount val="1"/>
              </c:strCache>
            </c:strRef>
          </c:tx>
          <c:spPr>
            <a:ln w="12700">
              <a:solidFill>
                <a:srgbClr val="000000"/>
              </a:solidFill>
            </a:ln>
          </c:spPr>
          <c:marker>
            <c:symbol val="none"/>
          </c:marker>
          <c:xVal>
            <c:numRef>
              <c:f>'_SB Analysis'!$AB$232:$AC$232</c:f>
              <c:numCache>
                <c:formatCode>General</c:formatCode>
                <c:ptCount val="2"/>
                <c:pt idx="0">
                  <c:v>#N/A</c:v>
                </c:pt>
                <c:pt idx="1">
                  <c:v>#N/A</c:v>
                </c:pt>
              </c:numCache>
            </c:numRef>
          </c:xVal>
          <c:yVal>
            <c:numRef>
              <c:f>'_SB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F3CD-41FC-B803-CC3D2681A579}"/>
            </c:ext>
          </c:extLst>
        </c:ser>
        <c:ser>
          <c:idx val="24"/>
          <c:order val="94"/>
          <c:tx>
            <c:strRef>
              <c:f>'_SB Analysis'!$AA$233</c:f>
              <c:strCache>
                <c:ptCount val="1"/>
              </c:strCache>
            </c:strRef>
          </c:tx>
          <c:spPr>
            <a:ln w="12700">
              <a:solidFill>
                <a:srgbClr val="000000"/>
              </a:solidFill>
            </a:ln>
          </c:spPr>
          <c:marker>
            <c:symbol val="none"/>
          </c:marker>
          <c:xVal>
            <c:numRef>
              <c:f>'_SB Analysis'!$AB$233:$AC$233</c:f>
              <c:numCache>
                <c:formatCode>General</c:formatCode>
                <c:ptCount val="2"/>
                <c:pt idx="0">
                  <c:v>#N/A</c:v>
                </c:pt>
                <c:pt idx="1">
                  <c:v>#N/A</c:v>
                </c:pt>
              </c:numCache>
            </c:numRef>
          </c:xVal>
          <c:yVal>
            <c:numRef>
              <c:f>'_SB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F3CD-41FC-B803-CC3D2681A579}"/>
            </c:ext>
          </c:extLst>
        </c:ser>
        <c:ser>
          <c:idx val="25"/>
          <c:order val="95"/>
          <c:tx>
            <c:strRef>
              <c:f>'_SB Analysis'!$AA$234</c:f>
              <c:strCache>
                <c:ptCount val="1"/>
              </c:strCache>
            </c:strRef>
          </c:tx>
          <c:spPr>
            <a:ln w="12700">
              <a:solidFill>
                <a:srgbClr val="000000"/>
              </a:solidFill>
            </a:ln>
          </c:spPr>
          <c:marker>
            <c:symbol val="none"/>
          </c:marker>
          <c:xVal>
            <c:numRef>
              <c:f>'_SB Analysis'!$AB$234:$AC$234</c:f>
              <c:numCache>
                <c:formatCode>General</c:formatCode>
                <c:ptCount val="2"/>
                <c:pt idx="0">
                  <c:v>#N/A</c:v>
                </c:pt>
                <c:pt idx="1">
                  <c:v>#N/A</c:v>
                </c:pt>
              </c:numCache>
            </c:numRef>
          </c:xVal>
          <c:yVal>
            <c:numRef>
              <c:f>'_SB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F3CD-41FC-B803-CC3D2681A579}"/>
            </c:ext>
          </c:extLst>
        </c:ser>
        <c:ser>
          <c:idx val="26"/>
          <c:order val="96"/>
          <c:tx>
            <c:strRef>
              <c:f>'_SB Analysis'!$AA$235</c:f>
              <c:strCache>
                <c:ptCount val="1"/>
              </c:strCache>
            </c:strRef>
          </c:tx>
          <c:spPr>
            <a:ln w="12700">
              <a:solidFill>
                <a:srgbClr val="000000"/>
              </a:solidFill>
            </a:ln>
          </c:spPr>
          <c:marker>
            <c:symbol val="none"/>
          </c:marker>
          <c:xVal>
            <c:numRef>
              <c:f>'_SB Analysis'!$AB$235:$AC$235</c:f>
              <c:numCache>
                <c:formatCode>General</c:formatCode>
                <c:ptCount val="2"/>
                <c:pt idx="0">
                  <c:v>#N/A</c:v>
                </c:pt>
                <c:pt idx="1">
                  <c:v>#N/A</c:v>
                </c:pt>
              </c:numCache>
            </c:numRef>
          </c:xVal>
          <c:yVal>
            <c:numRef>
              <c:f>'_SB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F3CD-41FC-B803-CC3D2681A579}"/>
            </c:ext>
          </c:extLst>
        </c:ser>
        <c:ser>
          <c:idx val="27"/>
          <c:order val="97"/>
          <c:tx>
            <c:strRef>
              <c:f>'_SB Analysis'!$AA$236</c:f>
              <c:strCache>
                <c:ptCount val="1"/>
              </c:strCache>
            </c:strRef>
          </c:tx>
          <c:spPr>
            <a:ln w="12700">
              <a:solidFill>
                <a:srgbClr val="000000"/>
              </a:solidFill>
            </a:ln>
          </c:spPr>
          <c:marker>
            <c:symbol val="none"/>
          </c:marker>
          <c:xVal>
            <c:numRef>
              <c:f>'_SB Analysis'!$AB$236:$AC$236</c:f>
              <c:numCache>
                <c:formatCode>General</c:formatCode>
                <c:ptCount val="2"/>
                <c:pt idx="0">
                  <c:v>#N/A</c:v>
                </c:pt>
                <c:pt idx="1">
                  <c:v>#N/A</c:v>
                </c:pt>
              </c:numCache>
            </c:numRef>
          </c:xVal>
          <c:yVal>
            <c:numRef>
              <c:f>'_SB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F3CD-41FC-B803-CC3D2681A579}"/>
            </c:ext>
          </c:extLst>
        </c:ser>
        <c:ser>
          <c:idx val="28"/>
          <c:order val="98"/>
          <c:tx>
            <c:strRef>
              <c:f>'_SB Analysis'!$AA$237</c:f>
              <c:strCache>
                <c:ptCount val="1"/>
              </c:strCache>
            </c:strRef>
          </c:tx>
          <c:spPr>
            <a:ln w="12700">
              <a:solidFill>
                <a:srgbClr val="000000"/>
              </a:solidFill>
            </a:ln>
          </c:spPr>
          <c:marker>
            <c:symbol val="none"/>
          </c:marker>
          <c:xVal>
            <c:numRef>
              <c:f>'_SB Analysis'!$AB$237:$AC$237</c:f>
              <c:numCache>
                <c:formatCode>General</c:formatCode>
                <c:ptCount val="2"/>
                <c:pt idx="0">
                  <c:v>#N/A</c:v>
                </c:pt>
                <c:pt idx="1">
                  <c:v>#N/A</c:v>
                </c:pt>
              </c:numCache>
            </c:numRef>
          </c:xVal>
          <c:yVal>
            <c:numRef>
              <c:f>'_SB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F3CD-41FC-B803-CC3D2681A579}"/>
            </c:ext>
          </c:extLst>
        </c:ser>
        <c:ser>
          <c:idx val="29"/>
          <c:order val="99"/>
          <c:tx>
            <c:strRef>
              <c:f>'_SB Analysis'!$AA$238</c:f>
              <c:strCache>
                <c:ptCount val="1"/>
              </c:strCache>
            </c:strRef>
          </c:tx>
          <c:spPr>
            <a:ln w="12700">
              <a:solidFill>
                <a:srgbClr val="000000"/>
              </a:solidFill>
            </a:ln>
          </c:spPr>
          <c:marker>
            <c:symbol val="none"/>
          </c:marker>
          <c:xVal>
            <c:numRef>
              <c:f>'_SB Analysis'!$AB$238:$AC$238</c:f>
              <c:numCache>
                <c:formatCode>General</c:formatCode>
                <c:ptCount val="2"/>
                <c:pt idx="0">
                  <c:v>#N/A</c:v>
                </c:pt>
                <c:pt idx="1">
                  <c:v>#N/A</c:v>
                </c:pt>
              </c:numCache>
            </c:numRef>
          </c:xVal>
          <c:yVal>
            <c:numRef>
              <c:f>'_SB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F3CD-41FC-B803-CC3D2681A579}"/>
            </c:ext>
          </c:extLst>
        </c:ser>
        <c:ser>
          <c:idx val="30"/>
          <c:order val="100"/>
          <c:tx>
            <c:strRef>
              <c:f>'_SB Analysis'!$AA$239</c:f>
              <c:strCache>
                <c:ptCount val="1"/>
              </c:strCache>
            </c:strRef>
          </c:tx>
          <c:spPr>
            <a:ln w="12700">
              <a:solidFill>
                <a:srgbClr val="000000"/>
              </a:solidFill>
            </a:ln>
          </c:spPr>
          <c:marker>
            <c:symbol val="none"/>
          </c:marker>
          <c:xVal>
            <c:numRef>
              <c:f>'_SB Analysis'!$AB$239:$AC$239</c:f>
              <c:numCache>
                <c:formatCode>General</c:formatCode>
                <c:ptCount val="2"/>
                <c:pt idx="0">
                  <c:v>#N/A</c:v>
                </c:pt>
                <c:pt idx="1">
                  <c:v>#N/A</c:v>
                </c:pt>
              </c:numCache>
            </c:numRef>
          </c:xVal>
          <c:yVal>
            <c:numRef>
              <c:f>'_SB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F3CD-41FC-B803-CC3D2681A579}"/>
            </c:ext>
          </c:extLst>
        </c:ser>
        <c:ser>
          <c:idx val="31"/>
          <c:order val="101"/>
          <c:tx>
            <c:strRef>
              <c:f>'_SB Analysis'!$AA$240</c:f>
              <c:strCache>
                <c:ptCount val="1"/>
              </c:strCache>
            </c:strRef>
          </c:tx>
          <c:spPr>
            <a:ln w="12700">
              <a:solidFill>
                <a:srgbClr val="000000"/>
              </a:solidFill>
            </a:ln>
          </c:spPr>
          <c:marker>
            <c:symbol val="none"/>
          </c:marker>
          <c:xVal>
            <c:numRef>
              <c:f>'_SB Analysis'!$AB$240:$AC$240</c:f>
              <c:numCache>
                <c:formatCode>General</c:formatCode>
                <c:ptCount val="2"/>
                <c:pt idx="0">
                  <c:v>#N/A</c:v>
                </c:pt>
                <c:pt idx="1">
                  <c:v>#N/A</c:v>
                </c:pt>
              </c:numCache>
            </c:numRef>
          </c:xVal>
          <c:yVal>
            <c:numRef>
              <c:f>'_SB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F3CD-41FC-B803-CC3D2681A579}"/>
            </c:ext>
          </c:extLst>
        </c:ser>
        <c:ser>
          <c:idx val="32"/>
          <c:order val="102"/>
          <c:tx>
            <c:strRef>
              <c:f>'_SB Analysis'!$AA$241</c:f>
              <c:strCache>
                <c:ptCount val="1"/>
              </c:strCache>
            </c:strRef>
          </c:tx>
          <c:spPr>
            <a:ln w="12700">
              <a:solidFill>
                <a:srgbClr val="000000"/>
              </a:solidFill>
            </a:ln>
          </c:spPr>
          <c:marker>
            <c:symbol val="none"/>
          </c:marker>
          <c:xVal>
            <c:numRef>
              <c:f>'_SB Analysis'!$AB$241:$AC$241</c:f>
              <c:numCache>
                <c:formatCode>General</c:formatCode>
                <c:ptCount val="2"/>
                <c:pt idx="0">
                  <c:v>#N/A</c:v>
                </c:pt>
                <c:pt idx="1">
                  <c:v>#N/A</c:v>
                </c:pt>
              </c:numCache>
            </c:numRef>
          </c:xVal>
          <c:yVal>
            <c:numRef>
              <c:f>'_SB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F3CD-41FC-B803-CC3D2681A579}"/>
            </c:ext>
          </c:extLst>
        </c:ser>
        <c:ser>
          <c:idx val="33"/>
          <c:order val="103"/>
          <c:tx>
            <c:strRef>
              <c:f>'_SB Analysis'!$AA$242</c:f>
              <c:strCache>
                <c:ptCount val="1"/>
              </c:strCache>
            </c:strRef>
          </c:tx>
          <c:spPr>
            <a:ln w="12700">
              <a:solidFill>
                <a:srgbClr val="000000"/>
              </a:solidFill>
            </a:ln>
          </c:spPr>
          <c:marker>
            <c:symbol val="none"/>
          </c:marker>
          <c:xVal>
            <c:numRef>
              <c:f>'_SB Analysis'!$AB$242:$AC$242</c:f>
              <c:numCache>
                <c:formatCode>General</c:formatCode>
                <c:ptCount val="2"/>
                <c:pt idx="0">
                  <c:v>#N/A</c:v>
                </c:pt>
                <c:pt idx="1">
                  <c:v>#N/A</c:v>
                </c:pt>
              </c:numCache>
            </c:numRef>
          </c:xVal>
          <c:yVal>
            <c:numRef>
              <c:f>'_SB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F3CD-41FC-B803-CC3D2681A579}"/>
            </c:ext>
          </c:extLst>
        </c:ser>
        <c:ser>
          <c:idx val="34"/>
          <c:order val="104"/>
          <c:tx>
            <c:strRef>
              <c:f>'_SB Analysis'!$AA$243</c:f>
              <c:strCache>
                <c:ptCount val="1"/>
              </c:strCache>
            </c:strRef>
          </c:tx>
          <c:spPr>
            <a:ln w="12700">
              <a:solidFill>
                <a:srgbClr val="000000"/>
              </a:solidFill>
            </a:ln>
          </c:spPr>
          <c:marker>
            <c:symbol val="none"/>
          </c:marker>
          <c:xVal>
            <c:numRef>
              <c:f>'_SB Analysis'!$AB$243:$AC$243</c:f>
              <c:numCache>
                <c:formatCode>General</c:formatCode>
                <c:ptCount val="2"/>
                <c:pt idx="0">
                  <c:v>#N/A</c:v>
                </c:pt>
                <c:pt idx="1">
                  <c:v>#N/A</c:v>
                </c:pt>
              </c:numCache>
            </c:numRef>
          </c:xVal>
          <c:yVal>
            <c:numRef>
              <c:f>'_SB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F3CD-41FC-B803-CC3D2681A579}"/>
            </c:ext>
          </c:extLst>
        </c:ser>
        <c:ser>
          <c:idx val="35"/>
          <c:order val="105"/>
          <c:tx>
            <c:strRef>
              <c:f>'_SB Analysis'!$AA$244</c:f>
              <c:strCache>
                <c:ptCount val="1"/>
              </c:strCache>
            </c:strRef>
          </c:tx>
          <c:spPr>
            <a:ln w="12700">
              <a:solidFill>
                <a:srgbClr val="000000"/>
              </a:solidFill>
            </a:ln>
          </c:spPr>
          <c:marker>
            <c:symbol val="none"/>
          </c:marker>
          <c:xVal>
            <c:numRef>
              <c:f>'_SB Analysis'!$AB$244:$AC$244</c:f>
              <c:numCache>
                <c:formatCode>General</c:formatCode>
                <c:ptCount val="2"/>
                <c:pt idx="0">
                  <c:v>#N/A</c:v>
                </c:pt>
                <c:pt idx="1">
                  <c:v>#N/A</c:v>
                </c:pt>
              </c:numCache>
            </c:numRef>
          </c:xVal>
          <c:yVal>
            <c:numRef>
              <c:f>'_SB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F3CD-41FC-B803-CC3D2681A579}"/>
            </c:ext>
          </c:extLst>
        </c:ser>
        <c:ser>
          <c:idx val="36"/>
          <c:order val="106"/>
          <c:tx>
            <c:strRef>
              <c:f>'_SB Analysis'!$AA$245</c:f>
              <c:strCache>
                <c:ptCount val="1"/>
              </c:strCache>
            </c:strRef>
          </c:tx>
          <c:spPr>
            <a:ln w="12700">
              <a:solidFill>
                <a:srgbClr val="000000"/>
              </a:solidFill>
            </a:ln>
          </c:spPr>
          <c:marker>
            <c:symbol val="none"/>
          </c:marker>
          <c:xVal>
            <c:numRef>
              <c:f>'_SB Analysis'!$AB$245:$AC$245</c:f>
              <c:numCache>
                <c:formatCode>General</c:formatCode>
                <c:ptCount val="2"/>
                <c:pt idx="0">
                  <c:v>#N/A</c:v>
                </c:pt>
                <c:pt idx="1">
                  <c:v>#N/A</c:v>
                </c:pt>
              </c:numCache>
            </c:numRef>
          </c:xVal>
          <c:yVal>
            <c:numRef>
              <c:f>'_SB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F3CD-41FC-B803-CC3D2681A579}"/>
            </c:ext>
          </c:extLst>
        </c:ser>
        <c:ser>
          <c:idx val="37"/>
          <c:order val="107"/>
          <c:tx>
            <c:strRef>
              <c:f>'_SB Analysis'!$AA$246</c:f>
              <c:strCache>
                <c:ptCount val="1"/>
              </c:strCache>
            </c:strRef>
          </c:tx>
          <c:spPr>
            <a:ln w="12700">
              <a:solidFill>
                <a:srgbClr val="000000"/>
              </a:solidFill>
            </a:ln>
          </c:spPr>
          <c:marker>
            <c:symbol val="none"/>
          </c:marker>
          <c:xVal>
            <c:numRef>
              <c:f>'_SB Analysis'!$AB$246:$AC$246</c:f>
              <c:numCache>
                <c:formatCode>General</c:formatCode>
                <c:ptCount val="2"/>
                <c:pt idx="0">
                  <c:v>#N/A</c:v>
                </c:pt>
                <c:pt idx="1">
                  <c:v>#N/A</c:v>
                </c:pt>
              </c:numCache>
            </c:numRef>
          </c:xVal>
          <c:yVal>
            <c:numRef>
              <c:f>'_SB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F3CD-41FC-B803-CC3D2681A579}"/>
            </c:ext>
          </c:extLst>
        </c:ser>
        <c:ser>
          <c:idx val="38"/>
          <c:order val="108"/>
          <c:tx>
            <c:strRef>
              <c:f>'_SB Analysis'!$AA$247</c:f>
              <c:strCache>
                <c:ptCount val="1"/>
              </c:strCache>
            </c:strRef>
          </c:tx>
          <c:spPr>
            <a:ln w="12700">
              <a:solidFill>
                <a:srgbClr val="000000"/>
              </a:solidFill>
            </a:ln>
          </c:spPr>
          <c:marker>
            <c:symbol val="none"/>
          </c:marker>
          <c:xVal>
            <c:numRef>
              <c:f>'_SB Analysis'!$AB$247:$AC$247</c:f>
              <c:numCache>
                <c:formatCode>General</c:formatCode>
                <c:ptCount val="2"/>
                <c:pt idx="0">
                  <c:v>#N/A</c:v>
                </c:pt>
                <c:pt idx="1">
                  <c:v>#N/A</c:v>
                </c:pt>
              </c:numCache>
            </c:numRef>
          </c:xVal>
          <c:yVal>
            <c:numRef>
              <c:f>'_SB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F3CD-41FC-B803-CC3D2681A579}"/>
            </c:ext>
          </c:extLst>
        </c:ser>
        <c:ser>
          <c:idx val="39"/>
          <c:order val="109"/>
          <c:tx>
            <c:strRef>
              <c:f>'_SB Analysis'!$AA$248</c:f>
              <c:strCache>
                <c:ptCount val="1"/>
              </c:strCache>
            </c:strRef>
          </c:tx>
          <c:spPr>
            <a:ln w="12700">
              <a:solidFill>
                <a:srgbClr val="000000"/>
              </a:solidFill>
            </a:ln>
          </c:spPr>
          <c:marker>
            <c:symbol val="none"/>
          </c:marker>
          <c:xVal>
            <c:numRef>
              <c:f>'_SB Analysis'!$AB$248:$AC$248</c:f>
              <c:numCache>
                <c:formatCode>General</c:formatCode>
                <c:ptCount val="2"/>
                <c:pt idx="0">
                  <c:v>#N/A</c:v>
                </c:pt>
                <c:pt idx="1">
                  <c:v>#N/A</c:v>
                </c:pt>
              </c:numCache>
            </c:numRef>
          </c:xVal>
          <c:yVal>
            <c:numRef>
              <c:f>'_SB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F3CD-41FC-B803-CC3D2681A579}"/>
            </c:ext>
          </c:extLst>
        </c:ser>
        <c:ser>
          <c:idx val="40"/>
          <c:order val="110"/>
          <c:tx>
            <c:strRef>
              <c:f>'_SB Analysis'!$AA$249</c:f>
              <c:strCache>
                <c:ptCount val="1"/>
              </c:strCache>
            </c:strRef>
          </c:tx>
          <c:spPr>
            <a:ln w="12700">
              <a:solidFill>
                <a:srgbClr val="000000"/>
              </a:solidFill>
            </a:ln>
          </c:spPr>
          <c:marker>
            <c:symbol val="none"/>
          </c:marker>
          <c:xVal>
            <c:numRef>
              <c:f>'_SB Analysis'!$AB$249:$AC$249</c:f>
              <c:numCache>
                <c:formatCode>General</c:formatCode>
                <c:ptCount val="2"/>
                <c:pt idx="0">
                  <c:v>#N/A</c:v>
                </c:pt>
                <c:pt idx="1">
                  <c:v>#N/A</c:v>
                </c:pt>
              </c:numCache>
            </c:numRef>
          </c:xVal>
          <c:yVal>
            <c:numRef>
              <c:f>'_SB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F3CD-41FC-B803-CC3D2681A579}"/>
            </c:ext>
          </c:extLst>
        </c:ser>
        <c:ser>
          <c:idx val="41"/>
          <c:order val="111"/>
          <c:tx>
            <c:strRef>
              <c:f>'_SB Analysis'!$AA$250</c:f>
              <c:strCache>
                <c:ptCount val="1"/>
              </c:strCache>
            </c:strRef>
          </c:tx>
          <c:spPr>
            <a:ln w="12700">
              <a:solidFill>
                <a:srgbClr val="000000"/>
              </a:solidFill>
            </a:ln>
          </c:spPr>
          <c:marker>
            <c:symbol val="none"/>
          </c:marker>
          <c:xVal>
            <c:numRef>
              <c:f>'_SB Analysis'!$AB$250:$AC$250</c:f>
              <c:numCache>
                <c:formatCode>General</c:formatCode>
                <c:ptCount val="2"/>
                <c:pt idx="0">
                  <c:v>#N/A</c:v>
                </c:pt>
                <c:pt idx="1">
                  <c:v>#N/A</c:v>
                </c:pt>
              </c:numCache>
            </c:numRef>
          </c:xVal>
          <c:yVal>
            <c:numRef>
              <c:f>'_SB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F3CD-41FC-B803-CC3D2681A579}"/>
            </c:ext>
          </c:extLst>
        </c:ser>
        <c:ser>
          <c:idx val="42"/>
          <c:order val="112"/>
          <c:tx>
            <c:strRef>
              <c:f>'_SB Analysis'!$AA$251</c:f>
              <c:strCache>
                <c:ptCount val="1"/>
              </c:strCache>
            </c:strRef>
          </c:tx>
          <c:spPr>
            <a:ln w="12700">
              <a:solidFill>
                <a:srgbClr val="000000"/>
              </a:solidFill>
            </a:ln>
          </c:spPr>
          <c:marker>
            <c:symbol val="none"/>
          </c:marker>
          <c:xVal>
            <c:numRef>
              <c:f>'_SB Analysis'!$AB$251:$AC$251</c:f>
              <c:numCache>
                <c:formatCode>General</c:formatCode>
                <c:ptCount val="2"/>
                <c:pt idx="0">
                  <c:v>#N/A</c:v>
                </c:pt>
                <c:pt idx="1">
                  <c:v>#N/A</c:v>
                </c:pt>
              </c:numCache>
            </c:numRef>
          </c:xVal>
          <c:yVal>
            <c:numRef>
              <c:f>'_SB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F3CD-41FC-B803-CC3D2681A579}"/>
            </c:ext>
          </c:extLst>
        </c:ser>
        <c:ser>
          <c:idx val="43"/>
          <c:order val="113"/>
          <c:tx>
            <c:strRef>
              <c:f>'_SB Analysis'!$AA$252</c:f>
              <c:strCache>
                <c:ptCount val="1"/>
              </c:strCache>
            </c:strRef>
          </c:tx>
          <c:spPr>
            <a:ln w="12700">
              <a:solidFill>
                <a:srgbClr val="000000"/>
              </a:solidFill>
            </a:ln>
          </c:spPr>
          <c:marker>
            <c:symbol val="none"/>
          </c:marker>
          <c:xVal>
            <c:numRef>
              <c:f>'_SB Analysis'!$AB$252:$AC$252</c:f>
              <c:numCache>
                <c:formatCode>General</c:formatCode>
                <c:ptCount val="2"/>
                <c:pt idx="0">
                  <c:v>#N/A</c:v>
                </c:pt>
                <c:pt idx="1">
                  <c:v>#N/A</c:v>
                </c:pt>
              </c:numCache>
            </c:numRef>
          </c:xVal>
          <c:yVal>
            <c:numRef>
              <c:f>'_SB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F3CD-41FC-B803-CC3D2681A579}"/>
            </c:ext>
          </c:extLst>
        </c:ser>
        <c:ser>
          <c:idx val="44"/>
          <c:order val="114"/>
          <c:tx>
            <c:strRef>
              <c:f>'_SB Analysis'!$AA$253</c:f>
              <c:strCache>
                <c:ptCount val="1"/>
              </c:strCache>
            </c:strRef>
          </c:tx>
          <c:spPr>
            <a:ln w="12700">
              <a:solidFill>
                <a:srgbClr val="000000"/>
              </a:solidFill>
            </a:ln>
          </c:spPr>
          <c:marker>
            <c:symbol val="none"/>
          </c:marker>
          <c:xVal>
            <c:numRef>
              <c:f>'_SB Analysis'!$AB$253:$AC$253</c:f>
              <c:numCache>
                <c:formatCode>General</c:formatCode>
                <c:ptCount val="2"/>
                <c:pt idx="0">
                  <c:v>#N/A</c:v>
                </c:pt>
                <c:pt idx="1">
                  <c:v>#N/A</c:v>
                </c:pt>
              </c:numCache>
            </c:numRef>
          </c:xVal>
          <c:yVal>
            <c:numRef>
              <c:f>'_SB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F3CD-41FC-B803-CC3D2681A579}"/>
            </c:ext>
          </c:extLst>
        </c:ser>
        <c:ser>
          <c:idx val="45"/>
          <c:order val="115"/>
          <c:tx>
            <c:strRef>
              <c:f>'_SB Analysis'!$AA$254</c:f>
              <c:strCache>
                <c:ptCount val="1"/>
              </c:strCache>
            </c:strRef>
          </c:tx>
          <c:spPr>
            <a:ln w="12700">
              <a:solidFill>
                <a:srgbClr val="000000"/>
              </a:solidFill>
            </a:ln>
          </c:spPr>
          <c:marker>
            <c:symbol val="none"/>
          </c:marker>
          <c:xVal>
            <c:numRef>
              <c:f>'_SB Analysis'!$AB$254:$AC$254</c:f>
              <c:numCache>
                <c:formatCode>General</c:formatCode>
                <c:ptCount val="2"/>
                <c:pt idx="0">
                  <c:v>#N/A</c:v>
                </c:pt>
                <c:pt idx="1">
                  <c:v>#N/A</c:v>
                </c:pt>
              </c:numCache>
            </c:numRef>
          </c:xVal>
          <c:yVal>
            <c:numRef>
              <c:f>'_SB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F3CD-41FC-B803-CC3D2681A579}"/>
            </c:ext>
          </c:extLst>
        </c:ser>
        <c:ser>
          <c:idx val="46"/>
          <c:order val="116"/>
          <c:tx>
            <c:strRef>
              <c:f>'_SB Analysis'!$AA$255</c:f>
              <c:strCache>
                <c:ptCount val="1"/>
              </c:strCache>
            </c:strRef>
          </c:tx>
          <c:spPr>
            <a:ln w="12700">
              <a:solidFill>
                <a:srgbClr val="000000"/>
              </a:solidFill>
            </a:ln>
          </c:spPr>
          <c:marker>
            <c:symbol val="none"/>
          </c:marker>
          <c:xVal>
            <c:numRef>
              <c:f>'_SB Analysis'!$AB$255:$AC$255</c:f>
              <c:numCache>
                <c:formatCode>General</c:formatCode>
                <c:ptCount val="2"/>
                <c:pt idx="0">
                  <c:v>#N/A</c:v>
                </c:pt>
                <c:pt idx="1">
                  <c:v>#N/A</c:v>
                </c:pt>
              </c:numCache>
            </c:numRef>
          </c:xVal>
          <c:yVal>
            <c:numRef>
              <c:f>'_SB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F3CD-41FC-B803-CC3D2681A579}"/>
            </c:ext>
          </c:extLst>
        </c:ser>
        <c:ser>
          <c:idx val="47"/>
          <c:order val="117"/>
          <c:tx>
            <c:strRef>
              <c:f>'_SB Analysis'!$AA$256</c:f>
              <c:strCache>
                <c:ptCount val="1"/>
              </c:strCache>
            </c:strRef>
          </c:tx>
          <c:spPr>
            <a:ln w="12700">
              <a:solidFill>
                <a:srgbClr val="000000"/>
              </a:solidFill>
            </a:ln>
          </c:spPr>
          <c:marker>
            <c:symbol val="none"/>
          </c:marker>
          <c:xVal>
            <c:numRef>
              <c:f>'_SB Analysis'!$AB$256:$AC$256</c:f>
              <c:numCache>
                <c:formatCode>General</c:formatCode>
                <c:ptCount val="2"/>
                <c:pt idx="0">
                  <c:v>#N/A</c:v>
                </c:pt>
                <c:pt idx="1">
                  <c:v>#N/A</c:v>
                </c:pt>
              </c:numCache>
            </c:numRef>
          </c:xVal>
          <c:yVal>
            <c:numRef>
              <c:f>'_SB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F3CD-41FC-B803-CC3D2681A579}"/>
            </c:ext>
          </c:extLst>
        </c:ser>
        <c:ser>
          <c:idx val="48"/>
          <c:order val="118"/>
          <c:tx>
            <c:strRef>
              <c:f>'_SB Analysis'!$AA$257</c:f>
              <c:strCache>
                <c:ptCount val="1"/>
              </c:strCache>
            </c:strRef>
          </c:tx>
          <c:spPr>
            <a:ln w="12700">
              <a:solidFill>
                <a:srgbClr val="000000"/>
              </a:solidFill>
            </a:ln>
          </c:spPr>
          <c:marker>
            <c:symbol val="none"/>
          </c:marker>
          <c:xVal>
            <c:numRef>
              <c:f>'_SB Analysis'!$AB$257:$AC$257</c:f>
              <c:numCache>
                <c:formatCode>General</c:formatCode>
                <c:ptCount val="2"/>
                <c:pt idx="0">
                  <c:v>#N/A</c:v>
                </c:pt>
                <c:pt idx="1">
                  <c:v>#N/A</c:v>
                </c:pt>
              </c:numCache>
            </c:numRef>
          </c:xVal>
          <c:yVal>
            <c:numRef>
              <c:f>'_SB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F3CD-41FC-B803-CC3D2681A579}"/>
            </c:ext>
          </c:extLst>
        </c:ser>
        <c:ser>
          <c:idx val="49"/>
          <c:order val="119"/>
          <c:tx>
            <c:strRef>
              <c:f>'_SB Analysis'!$AA$258</c:f>
              <c:strCache>
                <c:ptCount val="1"/>
              </c:strCache>
            </c:strRef>
          </c:tx>
          <c:spPr>
            <a:ln w="12700">
              <a:solidFill>
                <a:srgbClr val="000000"/>
              </a:solidFill>
            </a:ln>
          </c:spPr>
          <c:marker>
            <c:symbol val="none"/>
          </c:marker>
          <c:xVal>
            <c:numRef>
              <c:f>'_SB Analysis'!$AB$258:$AC$258</c:f>
              <c:numCache>
                <c:formatCode>General</c:formatCode>
                <c:ptCount val="2"/>
                <c:pt idx="0">
                  <c:v>#N/A</c:v>
                </c:pt>
                <c:pt idx="1">
                  <c:v>#N/A</c:v>
                </c:pt>
              </c:numCache>
            </c:numRef>
          </c:xVal>
          <c:yVal>
            <c:numRef>
              <c:f>'_SB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F3CD-41FC-B803-CC3D2681A579}"/>
            </c:ext>
          </c:extLst>
        </c:ser>
        <c:ser>
          <c:idx val="50"/>
          <c:order val="120"/>
          <c:tx>
            <c:strRef>
              <c:f>'_SB Analysis'!$AA$259</c:f>
              <c:strCache>
                <c:ptCount val="1"/>
              </c:strCache>
            </c:strRef>
          </c:tx>
          <c:spPr>
            <a:ln w="12700">
              <a:solidFill>
                <a:srgbClr val="000000"/>
              </a:solidFill>
            </a:ln>
          </c:spPr>
          <c:marker>
            <c:symbol val="none"/>
          </c:marker>
          <c:xVal>
            <c:numRef>
              <c:f>'_SB Analysis'!$AB$259:$AC$259</c:f>
              <c:numCache>
                <c:formatCode>General</c:formatCode>
                <c:ptCount val="2"/>
                <c:pt idx="0">
                  <c:v>#N/A</c:v>
                </c:pt>
                <c:pt idx="1">
                  <c:v>#N/A</c:v>
                </c:pt>
              </c:numCache>
            </c:numRef>
          </c:xVal>
          <c:yVal>
            <c:numRef>
              <c:f>'_SB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F3CD-41FC-B803-CC3D2681A579}"/>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'_CB Analysis'!$AA$329</c:f>
              <c:strCache>
                <c:ptCount val="1"/>
              </c:strCache>
            </c:strRef>
          </c:tx>
          <c:spPr>
            <a:ln w="12700">
              <a:solidFill>
                <a:srgbClr val="000000"/>
              </a:solidFill>
            </a:ln>
          </c:spPr>
          <c:marker>
            <c:symbol val="none"/>
          </c:marker>
          <c:xVal>
            <c:numRef>
              <c:f>'_CB Analysis'!$AB$329:$AC$329</c:f>
              <c:numCache>
                <c:formatCode>General</c:formatCode>
                <c:ptCount val="2"/>
                <c:pt idx="0">
                  <c:v>#N/A</c:v>
                </c:pt>
                <c:pt idx="1">
                  <c:v>#N/A</c:v>
                </c:pt>
              </c:numCache>
            </c:numRef>
          </c:xVal>
          <c:yVal>
            <c:numRef>
              <c:f>'_CB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CDF1-4597-BBA8-46E928671D81}"/>
            </c:ext>
          </c:extLst>
        </c:ser>
        <c:ser>
          <c:idx val="119"/>
          <c:order val="1"/>
          <c:tx>
            <c:strRef>
              <c:f>'_CB Analysis'!$AA$328</c:f>
              <c:strCache>
                <c:ptCount val="1"/>
              </c:strCache>
            </c:strRef>
          </c:tx>
          <c:spPr>
            <a:ln w="12700">
              <a:solidFill>
                <a:srgbClr val="000000"/>
              </a:solidFill>
            </a:ln>
          </c:spPr>
          <c:marker>
            <c:symbol val="none"/>
          </c:marker>
          <c:xVal>
            <c:numRef>
              <c:f>'_CB Analysis'!$AB$328:$AC$328</c:f>
              <c:numCache>
                <c:formatCode>General</c:formatCode>
                <c:ptCount val="2"/>
                <c:pt idx="0">
                  <c:v>#N/A</c:v>
                </c:pt>
                <c:pt idx="1">
                  <c:v>#N/A</c:v>
                </c:pt>
              </c:numCache>
            </c:numRef>
          </c:xVal>
          <c:yVal>
            <c:numRef>
              <c:f>'_CB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CDF1-4597-BBA8-46E928671D81}"/>
            </c:ext>
          </c:extLst>
        </c:ser>
        <c:ser>
          <c:idx val="118"/>
          <c:order val="2"/>
          <c:tx>
            <c:strRef>
              <c:f>'_CB Analysis'!$AA$327</c:f>
              <c:strCache>
                <c:ptCount val="1"/>
              </c:strCache>
            </c:strRef>
          </c:tx>
          <c:spPr>
            <a:ln w="12700">
              <a:solidFill>
                <a:srgbClr val="000000"/>
              </a:solidFill>
            </a:ln>
          </c:spPr>
          <c:marker>
            <c:symbol val="none"/>
          </c:marker>
          <c:xVal>
            <c:numRef>
              <c:f>'_CB Analysis'!$AB$327:$AC$327</c:f>
              <c:numCache>
                <c:formatCode>General</c:formatCode>
                <c:ptCount val="2"/>
                <c:pt idx="0">
                  <c:v>#N/A</c:v>
                </c:pt>
                <c:pt idx="1">
                  <c:v>#N/A</c:v>
                </c:pt>
              </c:numCache>
            </c:numRef>
          </c:xVal>
          <c:yVal>
            <c:numRef>
              <c:f>'_CB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CDF1-4597-BBA8-46E928671D81}"/>
            </c:ext>
          </c:extLst>
        </c:ser>
        <c:ser>
          <c:idx val="117"/>
          <c:order val="3"/>
          <c:tx>
            <c:strRef>
              <c:f>'_CB Analysis'!$AA$326</c:f>
              <c:strCache>
                <c:ptCount val="1"/>
              </c:strCache>
            </c:strRef>
          </c:tx>
          <c:spPr>
            <a:ln w="12700">
              <a:solidFill>
                <a:srgbClr val="000000"/>
              </a:solidFill>
            </a:ln>
          </c:spPr>
          <c:marker>
            <c:symbol val="none"/>
          </c:marker>
          <c:xVal>
            <c:numRef>
              <c:f>'_CB Analysis'!$AB$326:$AC$326</c:f>
              <c:numCache>
                <c:formatCode>General</c:formatCode>
                <c:ptCount val="2"/>
                <c:pt idx="0">
                  <c:v>#N/A</c:v>
                </c:pt>
                <c:pt idx="1">
                  <c:v>#N/A</c:v>
                </c:pt>
              </c:numCache>
            </c:numRef>
          </c:xVal>
          <c:yVal>
            <c:numRef>
              <c:f>'_CB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CDF1-4597-BBA8-46E928671D81}"/>
            </c:ext>
          </c:extLst>
        </c:ser>
        <c:ser>
          <c:idx val="116"/>
          <c:order val="4"/>
          <c:tx>
            <c:strRef>
              <c:f>'_CB Analysis'!$AA$325</c:f>
              <c:strCache>
                <c:ptCount val="1"/>
              </c:strCache>
            </c:strRef>
          </c:tx>
          <c:spPr>
            <a:ln w="12700">
              <a:solidFill>
                <a:srgbClr val="000000"/>
              </a:solidFill>
            </a:ln>
          </c:spPr>
          <c:marker>
            <c:symbol val="none"/>
          </c:marker>
          <c:xVal>
            <c:numRef>
              <c:f>'_CB Analysis'!$AB$325:$AC$325</c:f>
              <c:numCache>
                <c:formatCode>General</c:formatCode>
                <c:ptCount val="2"/>
                <c:pt idx="0">
                  <c:v>#N/A</c:v>
                </c:pt>
                <c:pt idx="1">
                  <c:v>#N/A</c:v>
                </c:pt>
              </c:numCache>
            </c:numRef>
          </c:xVal>
          <c:yVal>
            <c:numRef>
              <c:f>'_CB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CDF1-4597-BBA8-46E928671D81}"/>
            </c:ext>
          </c:extLst>
        </c:ser>
        <c:ser>
          <c:idx val="115"/>
          <c:order val="5"/>
          <c:tx>
            <c:strRef>
              <c:f>'_CB Analysis'!$AA$324</c:f>
              <c:strCache>
                <c:ptCount val="1"/>
              </c:strCache>
            </c:strRef>
          </c:tx>
          <c:spPr>
            <a:ln w="12700">
              <a:solidFill>
                <a:srgbClr val="000000"/>
              </a:solidFill>
            </a:ln>
          </c:spPr>
          <c:marker>
            <c:symbol val="none"/>
          </c:marker>
          <c:xVal>
            <c:numRef>
              <c:f>'_CB Analysis'!$AB$324:$AC$324</c:f>
              <c:numCache>
                <c:formatCode>General</c:formatCode>
                <c:ptCount val="2"/>
                <c:pt idx="0">
                  <c:v>#N/A</c:v>
                </c:pt>
                <c:pt idx="1">
                  <c:v>#N/A</c:v>
                </c:pt>
              </c:numCache>
            </c:numRef>
          </c:xVal>
          <c:yVal>
            <c:numRef>
              <c:f>'_CB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CDF1-4597-BBA8-46E928671D81}"/>
            </c:ext>
          </c:extLst>
        </c:ser>
        <c:ser>
          <c:idx val="114"/>
          <c:order val="6"/>
          <c:tx>
            <c:strRef>
              <c:f>'_CB Analysis'!$AA$323</c:f>
              <c:strCache>
                <c:ptCount val="1"/>
              </c:strCache>
            </c:strRef>
          </c:tx>
          <c:spPr>
            <a:ln w="12700">
              <a:solidFill>
                <a:srgbClr val="000000"/>
              </a:solidFill>
            </a:ln>
          </c:spPr>
          <c:marker>
            <c:symbol val="none"/>
          </c:marker>
          <c:xVal>
            <c:numRef>
              <c:f>'_CB Analysis'!$AB$323:$AC$323</c:f>
              <c:numCache>
                <c:formatCode>General</c:formatCode>
                <c:ptCount val="2"/>
                <c:pt idx="0">
                  <c:v>#N/A</c:v>
                </c:pt>
                <c:pt idx="1">
                  <c:v>#N/A</c:v>
                </c:pt>
              </c:numCache>
            </c:numRef>
          </c:xVal>
          <c:yVal>
            <c:numRef>
              <c:f>'_CB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CDF1-4597-BBA8-46E928671D81}"/>
            </c:ext>
          </c:extLst>
        </c:ser>
        <c:ser>
          <c:idx val="113"/>
          <c:order val="7"/>
          <c:tx>
            <c:strRef>
              <c:f>'_CB Analysis'!$AA$322</c:f>
              <c:strCache>
                <c:ptCount val="1"/>
              </c:strCache>
            </c:strRef>
          </c:tx>
          <c:spPr>
            <a:ln w="12700">
              <a:solidFill>
                <a:srgbClr val="000000"/>
              </a:solidFill>
            </a:ln>
          </c:spPr>
          <c:marker>
            <c:symbol val="none"/>
          </c:marker>
          <c:xVal>
            <c:numRef>
              <c:f>'_CB Analysis'!$AB$322:$AC$322</c:f>
              <c:numCache>
                <c:formatCode>General</c:formatCode>
                <c:ptCount val="2"/>
                <c:pt idx="0">
                  <c:v>#N/A</c:v>
                </c:pt>
                <c:pt idx="1">
                  <c:v>#N/A</c:v>
                </c:pt>
              </c:numCache>
            </c:numRef>
          </c:xVal>
          <c:yVal>
            <c:numRef>
              <c:f>'_CB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CDF1-4597-BBA8-46E928671D81}"/>
            </c:ext>
          </c:extLst>
        </c:ser>
        <c:ser>
          <c:idx val="112"/>
          <c:order val="8"/>
          <c:tx>
            <c:strRef>
              <c:f>'_CB Analysis'!$AA$321</c:f>
              <c:strCache>
                <c:ptCount val="1"/>
              </c:strCache>
            </c:strRef>
          </c:tx>
          <c:spPr>
            <a:ln w="12700">
              <a:solidFill>
                <a:srgbClr val="000000"/>
              </a:solidFill>
            </a:ln>
          </c:spPr>
          <c:marker>
            <c:symbol val="none"/>
          </c:marker>
          <c:xVal>
            <c:numRef>
              <c:f>'_CB Analysis'!$AB$321:$AC$321</c:f>
              <c:numCache>
                <c:formatCode>General</c:formatCode>
                <c:ptCount val="2"/>
                <c:pt idx="0">
                  <c:v>#N/A</c:v>
                </c:pt>
                <c:pt idx="1">
                  <c:v>#N/A</c:v>
                </c:pt>
              </c:numCache>
            </c:numRef>
          </c:xVal>
          <c:yVal>
            <c:numRef>
              <c:f>'_CB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CDF1-4597-BBA8-46E928671D81}"/>
            </c:ext>
          </c:extLst>
        </c:ser>
        <c:ser>
          <c:idx val="111"/>
          <c:order val="9"/>
          <c:tx>
            <c:strRef>
              <c:f>'_CB Analysis'!$AA$320</c:f>
              <c:strCache>
                <c:ptCount val="1"/>
              </c:strCache>
            </c:strRef>
          </c:tx>
          <c:spPr>
            <a:ln w="12700">
              <a:solidFill>
                <a:srgbClr val="000000"/>
              </a:solidFill>
            </a:ln>
          </c:spPr>
          <c:marker>
            <c:symbol val="none"/>
          </c:marker>
          <c:xVal>
            <c:numRef>
              <c:f>'_CB Analysis'!$AB$320:$AC$320</c:f>
              <c:numCache>
                <c:formatCode>General</c:formatCode>
                <c:ptCount val="2"/>
                <c:pt idx="0">
                  <c:v>#N/A</c:v>
                </c:pt>
                <c:pt idx="1">
                  <c:v>#N/A</c:v>
                </c:pt>
              </c:numCache>
            </c:numRef>
          </c:xVal>
          <c:yVal>
            <c:numRef>
              <c:f>'_CB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CDF1-4597-BBA8-46E928671D81}"/>
            </c:ext>
          </c:extLst>
        </c:ser>
        <c:ser>
          <c:idx val="110"/>
          <c:order val="10"/>
          <c:tx>
            <c:strRef>
              <c:f>'_CB Analysis'!$AA$319</c:f>
              <c:strCache>
                <c:ptCount val="1"/>
              </c:strCache>
            </c:strRef>
          </c:tx>
          <c:spPr>
            <a:ln w="12700">
              <a:solidFill>
                <a:srgbClr val="000000"/>
              </a:solidFill>
            </a:ln>
          </c:spPr>
          <c:marker>
            <c:symbol val="none"/>
          </c:marker>
          <c:xVal>
            <c:numRef>
              <c:f>'_CB Analysis'!$AB$319:$AC$319</c:f>
              <c:numCache>
                <c:formatCode>General</c:formatCode>
                <c:ptCount val="2"/>
                <c:pt idx="0">
                  <c:v>#N/A</c:v>
                </c:pt>
                <c:pt idx="1">
                  <c:v>#N/A</c:v>
                </c:pt>
              </c:numCache>
            </c:numRef>
          </c:xVal>
          <c:yVal>
            <c:numRef>
              <c:f>'_CB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CDF1-4597-BBA8-46E928671D81}"/>
            </c:ext>
          </c:extLst>
        </c:ser>
        <c:ser>
          <c:idx val="109"/>
          <c:order val="11"/>
          <c:tx>
            <c:strRef>
              <c:f>'_CB Analysis'!$AA$318</c:f>
              <c:strCache>
                <c:ptCount val="1"/>
              </c:strCache>
            </c:strRef>
          </c:tx>
          <c:spPr>
            <a:ln w="12700">
              <a:solidFill>
                <a:srgbClr val="000000"/>
              </a:solidFill>
            </a:ln>
          </c:spPr>
          <c:marker>
            <c:symbol val="none"/>
          </c:marker>
          <c:xVal>
            <c:numRef>
              <c:f>'_CB Analysis'!$AB$318:$AC$318</c:f>
              <c:numCache>
                <c:formatCode>General</c:formatCode>
                <c:ptCount val="2"/>
                <c:pt idx="0">
                  <c:v>#N/A</c:v>
                </c:pt>
                <c:pt idx="1">
                  <c:v>#N/A</c:v>
                </c:pt>
              </c:numCache>
            </c:numRef>
          </c:xVal>
          <c:yVal>
            <c:numRef>
              <c:f>'_CB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CDF1-4597-BBA8-46E928671D81}"/>
            </c:ext>
          </c:extLst>
        </c:ser>
        <c:ser>
          <c:idx val="108"/>
          <c:order val="12"/>
          <c:tx>
            <c:strRef>
              <c:f>'_CB Analysis'!$AA$317</c:f>
              <c:strCache>
                <c:ptCount val="1"/>
              </c:strCache>
            </c:strRef>
          </c:tx>
          <c:spPr>
            <a:ln w="12700">
              <a:solidFill>
                <a:srgbClr val="000000"/>
              </a:solidFill>
            </a:ln>
          </c:spPr>
          <c:marker>
            <c:symbol val="none"/>
          </c:marker>
          <c:xVal>
            <c:numRef>
              <c:f>'_CB Analysis'!$AB$317:$AC$317</c:f>
              <c:numCache>
                <c:formatCode>General</c:formatCode>
                <c:ptCount val="2"/>
                <c:pt idx="0">
                  <c:v>#N/A</c:v>
                </c:pt>
                <c:pt idx="1">
                  <c:v>#N/A</c:v>
                </c:pt>
              </c:numCache>
            </c:numRef>
          </c:xVal>
          <c:yVal>
            <c:numRef>
              <c:f>'_CB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CDF1-4597-BBA8-46E928671D81}"/>
            </c:ext>
          </c:extLst>
        </c:ser>
        <c:ser>
          <c:idx val="107"/>
          <c:order val="13"/>
          <c:tx>
            <c:strRef>
              <c:f>'_CB Analysis'!$AA$316</c:f>
              <c:strCache>
                <c:ptCount val="1"/>
              </c:strCache>
            </c:strRef>
          </c:tx>
          <c:spPr>
            <a:ln w="12700">
              <a:solidFill>
                <a:srgbClr val="000000"/>
              </a:solidFill>
            </a:ln>
          </c:spPr>
          <c:marker>
            <c:symbol val="none"/>
          </c:marker>
          <c:xVal>
            <c:numRef>
              <c:f>'_CB Analysis'!$AB$316:$AC$316</c:f>
              <c:numCache>
                <c:formatCode>General</c:formatCode>
                <c:ptCount val="2"/>
                <c:pt idx="0">
                  <c:v>#N/A</c:v>
                </c:pt>
                <c:pt idx="1">
                  <c:v>#N/A</c:v>
                </c:pt>
              </c:numCache>
            </c:numRef>
          </c:xVal>
          <c:yVal>
            <c:numRef>
              <c:f>'_CB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CDF1-4597-BBA8-46E928671D81}"/>
            </c:ext>
          </c:extLst>
        </c:ser>
        <c:ser>
          <c:idx val="106"/>
          <c:order val="14"/>
          <c:tx>
            <c:strRef>
              <c:f>'_CB Analysis'!$AA$315</c:f>
              <c:strCache>
                <c:ptCount val="1"/>
              </c:strCache>
            </c:strRef>
          </c:tx>
          <c:spPr>
            <a:ln w="12700">
              <a:solidFill>
                <a:srgbClr val="000000"/>
              </a:solidFill>
            </a:ln>
          </c:spPr>
          <c:marker>
            <c:symbol val="none"/>
          </c:marker>
          <c:xVal>
            <c:numRef>
              <c:f>'_CB Analysis'!$AB$315:$AC$315</c:f>
              <c:numCache>
                <c:formatCode>General</c:formatCode>
                <c:ptCount val="2"/>
                <c:pt idx="0">
                  <c:v>#N/A</c:v>
                </c:pt>
                <c:pt idx="1">
                  <c:v>#N/A</c:v>
                </c:pt>
              </c:numCache>
            </c:numRef>
          </c:xVal>
          <c:yVal>
            <c:numRef>
              <c:f>'_CB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CDF1-4597-BBA8-46E928671D81}"/>
            </c:ext>
          </c:extLst>
        </c:ser>
        <c:ser>
          <c:idx val="105"/>
          <c:order val="15"/>
          <c:tx>
            <c:strRef>
              <c:f>'_CB Analysis'!$AA$314</c:f>
              <c:strCache>
                <c:ptCount val="1"/>
              </c:strCache>
            </c:strRef>
          </c:tx>
          <c:spPr>
            <a:ln w="12700">
              <a:solidFill>
                <a:srgbClr val="000000"/>
              </a:solidFill>
            </a:ln>
          </c:spPr>
          <c:marker>
            <c:symbol val="none"/>
          </c:marker>
          <c:xVal>
            <c:numRef>
              <c:f>'_CB Analysis'!$AB$314:$AC$314</c:f>
              <c:numCache>
                <c:formatCode>General</c:formatCode>
                <c:ptCount val="2"/>
                <c:pt idx="0">
                  <c:v>#N/A</c:v>
                </c:pt>
                <c:pt idx="1">
                  <c:v>#N/A</c:v>
                </c:pt>
              </c:numCache>
            </c:numRef>
          </c:xVal>
          <c:yVal>
            <c:numRef>
              <c:f>'_CB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CDF1-4597-BBA8-46E928671D81}"/>
            </c:ext>
          </c:extLst>
        </c:ser>
        <c:ser>
          <c:idx val="104"/>
          <c:order val="16"/>
          <c:tx>
            <c:strRef>
              <c:f>'_CB Analysis'!$AA$313</c:f>
              <c:strCache>
                <c:ptCount val="1"/>
              </c:strCache>
            </c:strRef>
          </c:tx>
          <c:spPr>
            <a:ln w="12700">
              <a:solidFill>
                <a:srgbClr val="000000"/>
              </a:solidFill>
            </a:ln>
          </c:spPr>
          <c:marker>
            <c:symbol val="none"/>
          </c:marker>
          <c:xVal>
            <c:numRef>
              <c:f>'_CB Analysis'!$AB$313:$AC$313</c:f>
              <c:numCache>
                <c:formatCode>General</c:formatCode>
                <c:ptCount val="2"/>
                <c:pt idx="0">
                  <c:v>#N/A</c:v>
                </c:pt>
                <c:pt idx="1">
                  <c:v>#N/A</c:v>
                </c:pt>
              </c:numCache>
            </c:numRef>
          </c:xVal>
          <c:yVal>
            <c:numRef>
              <c:f>'_CB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CDF1-4597-BBA8-46E928671D81}"/>
            </c:ext>
          </c:extLst>
        </c:ser>
        <c:ser>
          <c:idx val="103"/>
          <c:order val="17"/>
          <c:tx>
            <c:strRef>
              <c:f>'_CB Analysis'!$AA$312</c:f>
              <c:strCache>
                <c:ptCount val="1"/>
              </c:strCache>
            </c:strRef>
          </c:tx>
          <c:spPr>
            <a:ln w="12700">
              <a:solidFill>
                <a:srgbClr val="000000"/>
              </a:solidFill>
            </a:ln>
          </c:spPr>
          <c:marker>
            <c:symbol val="none"/>
          </c:marker>
          <c:xVal>
            <c:numRef>
              <c:f>'_CB Analysis'!$AB$312:$AC$312</c:f>
              <c:numCache>
                <c:formatCode>General</c:formatCode>
                <c:ptCount val="2"/>
                <c:pt idx="0">
                  <c:v>#N/A</c:v>
                </c:pt>
                <c:pt idx="1">
                  <c:v>#N/A</c:v>
                </c:pt>
              </c:numCache>
            </c:numRef>
          </c:xVal>
          <c:yVal>
            <c:numRef>
              <c:f>'_CB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CDF1-4597-BBA8-46E928671D81}"/>
            </c:ext>
          </c:extLst>
        </c:ser>
        <c:ser>
          <c:idx val="102"/>
          <c:order val="18"/>
          <c:tx>
            <c:strRef>
              <c:f>'_CB Analysis'!$AA$311</c:f>
              <c:strCache>
                <c:ptCount val="1"/>
              </c:strCache>
            </c:strRef>
          </c:tx>
          <c:spPr>
            <a:ln w="12700">
              <a:solidFill>
                <a:srgbClr val="000000"/>
              </a:solidFill>
            </a:ln>
          </c:spPr>
          <c:marker>
            <c:symbol val="none"/>
          </c:marker>
          <c:xVal>
            <c:numRef>
              <c:f>'_CB Analysis'!$AB$311:$AC$311</c:f>
              <c:numCache>
                <c:formatCode>General</c:formatCode>
                <c:ptCount val="2"/>
                <c:pt idx="0">
                  <c:v>#N/A</c:v>
                </c:pt>
                <c:pt idx="1">
                  <c:v>#N/A</c:v>
                </c:pt>
              </c:numCache>
            </c:numRef>
          </c:xVal>
          <c:yVal>
            <c:numRef>
              <c:f>'_CB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CDF1-4597-BBA8-46E928671D81}"/>
            </c:ext>
          </c:extLst>
        </c:ser>
        <c:ser>
          <c:idx val="101"/>
          <c:order val="19"/>
          <c:tx>
            <c:strRef>
              <c:f>'_CB Analysis'!$AA$310</c:f>
              <c:strCache>
                <c:ptCount val="1"/>
              </c:strCache>
            </c:strRef>
          </c:tx>
          <c:spPr>
            <a:ln w="12700">
              <a:solidFill>
                <a:srgbClr val="000000"/>
              </a:solidFill>
            </a:ln>
          </c:spPr>
          <c:marker>
            <c:symbol val="none"/>
          </c:marker>
          <c:xVal>
            <c:numRef>
              <c:f>'_CB Analysis'!$AB$310:$AC$310</c:f>
              <c:numCache>
                <c:formatCode>General</c:formatCode>
                <c:ptCount val="2"/>
                <c:pt idx="0">
                  <c:v>#N/A</c:v>
                </c:pt>
                <c:pt idx="1">
                  <c:v>#N/A</c:v>
                </c:pt>
              </c:numCache>
            </c:numRef>
          </c:xVal>
          <c:yVal>
            <c:numRef>
              <c:f>'_CB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CDF1-4597-BBA8-46E928671D81}"/>
            </c:ext>
          </c:extLst>
        </c:ser>
        <c:ser>
          <c:idx val="100"/>
          <c:order val="20"/>
          <c:tx>
            <c:strRef>
              <c:f>'_CB Analysis'!$AA$309</c:f>
              <c:strCache>
                <c:ptCount val="1"/>
              </c:strCache>
            </c:strRef>
          </c:tx>
          <c:spPr>
            <a:ln w="12700">
              <a:solidFill>
                <a:srgbClr val="000000"/>
              </a:solidFill>
            </a:ln>
          </c:spPr>
          <c:marker>
            <c:symbol val="none"/>
          </c:marker>
          <c:xVal>
            <c:numRef>
              <c:f>'_CB Analysis'!$AB$309:$AC$309</c:f>
              <c:numCache>
                <c:formatCode>General</c:formatCode>
                <c:ptCount val="2"/>
                <c:pt idx="0">
                  <c:v>#N/A</c:v>
                </c:pt>
                <c:pt idx="1">
                  <c:v>#N/A</c:v>
                </c:pt>
              </c:numCache>
            </c:numRef>
          </c:xVal>
          <c:yVal>
            <c:numRef>
              <c:f>'_CB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CDF1-4597-BBA8-46E928671D81}"/>
            </c:ext>
          </c:extLst>
        </c:ser>
        <c:ser>
          <c:idx val="99"/>
          <c:order val="21"/>
          <c:tx>
            <c:strRef>
              <c:f>'_CB Analysis'!$AA$308</c:f>
              <c:strCache>
                <c:ptCount val="1"/>
              </c:strCache>
            </c:strRef>
          </c:tx>
          <c:spPr>
            <a:ln w="12700">
              <a:solidFill>
                <a:srgbClr val="000000"/>
              </a:solidFill>
            </a:ln>
          </c:spPr>
          <c:marker>
            <c:symbol val="none"/>
          </c:marker>
          <c:xVal>
            <c:numRef>
              <c:f>'_CB Analysis'!$AB$308:$AC$308</c:f>
              <c:numCache>
                <c:formatCode>General</c:formatCode>
                <c:ptCount val="2"/>
                <c:pt idx="0">
                  <c:v>#N/A</c:v>
                </c:pt>
                <c:pt idx="1">
                  <c:v>#N/A</c:v>
                </c:pt>
              </c:numCache>
            </c:numRef>
          </c:xVal>
          <c:yVal>
            <c:numRef>
              <c:f>'_CB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CDF1-4597-BBA8-46E928671D81}"/>
            </c:ext>
          </c:extLst>
        </c:ser>
        <c:ser>
          <c:idx val="98"/>
          <c:order val="22"/>
          <c:tx>
            <c:strRef>
              <c:f>'_CB Analysis'!$AA$307</c:f>
              <c:strCache>
                <c:ptCount val="1"/>
              </c:strCache>
            </c:strRef>
          </c:tx>
          <c:spPr>
            <a:ln w="12700">
              <a:solidFill>
                <a:srgbClr val="000000"/>
              </a:solidFill>
            </a:ln>
          </c:spPr>
          <c:marker>
            <c:symbol val="none"/>
          </c:marker>
          <c:xVal>
            <c:numRef>
              <c:f>'_CB Analysis'!$AB$307:$AC$307</c:f>
              <c:numCache>
                <c:formatCode>General</c:formatCode>
                <c:ptCount val="2"/>
                <c:pt idx="0">
                  <c:v>#N/A</c:v>
                </c:pt>
                <c:pt idx="1">
                  <c:v>#N/A</c:v>
                </c:pt>
              </c:numCache>
            </c:numRef>
          </c:xVal>
          <c:yVal>
            <c:numRef>
              <c:f>'_CB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CDF1-4597-BBA8-46E928671D81}"/>
            </c:ext>
          </c:extLst>
        </c:ser>
        <c:ser>
          <c:idx val="97"/>
          <c:order val="23"/>
          <c:tx>
            <c:strRef>
              <c:f>'_CB Analysis'!$AA$306</c:f>
              <c:strCache>
                <c:ptCount val="1"/>
              </c:strCache>
            </c:strRef>
          </c:tx>
          <c:spPr>
            <a:ln w="12700">
              <a:solidFill>
                <a:srgbClr val="000000"/>
              </a:solidFill>
            </a:ln>
          </c:spPr>
          <c:marker>
            <c:symbol val="none"/>
          </c:marker>
          <c:xVal>
            <c:numRef>
              <c:f>'_CB Analysis'!$AB$306:$AC$306</c:f>
              <c:numCache>
                <c:formatCode>General</c:formatCode>
                <c:ptCount val="2"/>
                <c:pt idx="0">
                  <c:v>#N/A</c:v>
                </c:pt>
                <c:pt idx="1">
                  <c:v>#N/A</c:v>
                </c:pt>
              </c:numCache>
            </c:numRef>
          </c:xVal>
          <c:yVal>
            <c:numRef>
              <c:f>'_CB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CDF1-4597-BBA8-46E928671D81}"/>
            </c:ext>
          </c:extLst>
        </c:ser>
        <c:ser>
          <c:idx val="96"/>
          <c:order val="24"/>
          <c:tx>
            <c:strRef>
              <c:f>'_CB Analysis'!$AA$305</c:f>
              <c:strCache>
                <c:ptCount val="1"/>
              </c:strCache>
            </c:strRef>
          </c:tx>
          <c:spPr>
            <a:ln w="12700">
              <a:solidFill>
                <a:srgbClr val="000000"/>
              </a:solidFill>
            </a:ln>
          </c:spPr>
          <c:marker>
            <c:symbol val="none"/>
          </c:marker>
          <c:xVal>
            <c:numRef>
              <c:f>'_CB Analysis'!$AB$305:$AC$305</c:f>
              <c:numCache>
                <c:formatCode>General</c:formatCode>
                <c:ptCount val="2"/>
                <c:pt idx="0">
                  <c:v>#N/A</c:v>
                </c:pt>
                <c:pt idx="1">
                  <c:v>#N/A</c:v>
                </c:pt>
              </c:numCache>
            </c:numRef>
          </c:xVal>
          <c:yVal>
            <c:numRef>
              <c:f>'_CB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CDF1-4597-BBA8-46E928671D81}"/>
            </c:ext>
          </c:extLst>
        </c:ser>
        <c:ser>
          <c:idx val="95"/>
          <c:order val="25"/>
          <c:tx>
            <c:strRef>
              <c:f>'_CB Analysis'!$AA$304</c:f>
              <c:strCache>
                <c:ptCount val="1"/>
              </c:strCache>
            </c:strRef>
          </c:tx>
          <c:spPr>
            <a:ln w="12700">
              <a:solidFill>
                <a:srgbClr val="000000"/>
              </a:solidFill>
            </a:ln>
          </c:spPr>
          <c:marker>
            <c:symbol val="none"/>
          </c:marker>
          <c:xVal>
            <c:numRef>
              <c:f>'_CB Analysis'!$AB$304:$AC$304</c:f>
              <c:numCache>
                <c:formatCode>General</c:formatCode>
                <c:ptCount val="2"/>
                <c:pt idx="0">
                  <c:v>#N/A</c:v>
                </c:pt>
                <c:pt idx="1">
                  <c:v>#N/A</c:v>
                </c:pt>
              </c:numCache>
            </c:numRef>
          </c:xVal>
          <c:yVal>
            <c:numRef>
              <c:f>'_CB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CDF1-4597-BBA8-46E928671D81}"/>
            </c:ext>
          </c:extLst>
        </c:ser>
        <c:ser>
          <c:idx val="94"/>
          <c:order val="26"/>
          <c:tx>
            <c:strRef>
              <c:f>'_CB Analysis'!$AA$303</c:f>
              <c:strCache>
                <c:ptCount val="1"/>
              </c:strCache>
            </c:strRef>
          </c:tx>
          <c:spPr>
            <a:ln w="12700">
              <a:solidFill>
                <a:srgbClr val="000000"/>
              </a:solidFill>
            </a:ln>
          </c:spPr>
          <c:marker>
            <c:symbol val="none"/>
          </c:marker>
          <c:xVal>
            <c:numRef>
              <c:f>'_CB Analysis'!$AB$303:$AC$303</c:f>
              <c:numCache>
                <c:formatCode>General</c:formatCode>
                <c:ptCount val="2"/>
                <c:pt idx="0">
                  <c:v>#N/A</c:v>
                </c:pt>
                <c:pt idx="1">
                  <c:v>#N/A</c:v>
                </c:pt>
              </c:numCache>
            </c:numRef>
          </c:xVal>
          <c:yVal>
            <c:numRef>
              <c:f>'_CB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CDF1-4597-BBA8-46E928671D81}"/>
            </c:ext>
          </c:extLst>
        </c:ser>
        <c:ser>
          <c:idx val="93"/>
          <c:order val="27"/>
          <c:tx>
            <c:strRef>
              <c:f>'_CB Analysis'!$AA$302</c:f>
              <c:strCache>
                <c:ptCount val="1"/>
              </c:strCache>
            </c:strRef>
          </c:tx>
          <c:spPr>
            <a:ln w="12700">
              <a:solidFill>
                <a:srgbClr val="000000"/>
              </a:solidFill>
            </a:ln>
          </c:spPr>
          <c:marker>
            <c:symbol val="none"/>
          </c:marker>
          <c:xVal>
            <c:numRef>
              <c:f>'_CB Analysis'!$AB$302:$AC$302</c:f>
              <c:numCache>
                <c:formatCode>General</c:formatCode>
                <c:ptCount val="2"/>
                <c:pt idx="0">
                  <c:v>#N/A</c:v>
                </c:pt>
                <c:pt idx="1">
                  <c:v>#N/A</c:v>
                </c:pt>
              </c:numCache>
            </c:numRef>
          </c:xVal>
          <c:yVal>
            <c:numRef>
              <c:f>'_CB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CDF1-4597-BBA8-46E928671D81}"/>
            </c:ext>
          </c:extLst>
        </c:ser>
        <c:ser>
          <c:idx val="92"/>
          <c:order val="28"/>
          <c:tx>
            <c:strRef>
              <c:f>'_CB Analysis'!$AA$301</c:f>
              <c:strCache>
                <c:ptCount val="1"/>
              </c:strCache>
            </c:strRef>
          </c:tx>
          <c:spPr>
            <a:ln w="12700">
              <a:solidFill>
                <a:srgbClr val="000000"/>
              </a:solidFill>
            </a:ln>
          </c:spPr>
          <c:marker>
            <c:symbol val="none"/>
          </c:marker>
          <c:xVal>
            <c:numRef>
              <c:f>'_CB Analysis'!$AB$301:$AC$301</c:f>
              <c:numCache>
                <c:formatCode>General</c:formatCode>
                <c:ptCount val="2"/>
                <c:pt idx="0">
                  <c:v>#N/A</c:v>
                </c:pt>
                <c:pt idx="1">
                  <c:v>#N/A</c:v>
                </c:pt>
              </c:numCache>
            </c:numRef>
          </c:xVal>
          <c:yVal>
            <c:numRef>
              <c:f>'_CB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CDF1-4597-BBA8-46E928671D81}"/>
            </c:ext>
          </c:extLst>
        </c:ser>
        <c:ser>
          <c:idx val="91"/>
          <c:order val="29"/>
          <c:tx>
            <c:strRef>
              <c:f>'_CB Analysis'!$AA$300</c:f>
              <c:strCache>
                <c:ptCount val="1"/>
              </c:strCache>
            </c:strRef>
          </c:tx>
          <c:spPr>
            <a:ln w="12700">
              <a:solidFill>
                <a:srgbClr val="000000"/>
              </a:solidFill>
            </a:ln>
          </c:spPr>
          <c:marker>
            <c:symbol val="none"/>
          </c:marker>
          <c:xVal>
            <c:numRef>
              <c:f>'_CB Analysis'!$AB$300:$AC$300</c:f>
              <c:numCache>
                <c:formatCode>General</c:formatCode>
                <c:ptCount val="2"/>
                <c:pt idx="0">
                  <c:v>#N/A</c:v>
                </c:pt>
                <c:pt idx="1">
                  <c:v>#N/A</c:v>
                </c:pt>
              </c:numCache>
            </c:numRef>
          </c:xVal>
          <c:yVal>
            <c:numRef>
              <c:f>'_CB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CDF1-4597-BBA8-46E928671D81}"/>
            </c:ext>
          </c:extLst>
        </c:ser>
        <c:ser>
          <c:idx val="90"/>
          <c:order val="30"/>
          <c:tx>
            <c:strRef>
              <c:f>'_CB Analysis'!$AA$299</c:f>
              <c:strCache>
                <c:ptCount val="1"/>
              </c:strCache>
            </c:strRef>
          </c:tx>
          <c:spPr>
            <a:ln w="12700">
              <a:solidFill>
                <a:srgbClr val="000000"/>
              </a:solidFill>
            </a:ln>
          </c:spPr>
          <c:marker>
            <c:symbol val="none"/>
          </c:marker>
          <c:xVal>
            <c:numRef>
              <c:f>'_CB Analysis'!$AB$299:$AC$299</c:f>
              <c:numCache>
                <c:formatCode>General</c:formatCode>
                <c:ptCount val="2"/>
                <c:pt idx="0">
                  <c:v>#N/A</c:v>
                </c:pt>
                <c:pt idx="1">
                  <c:v>#N/A</c:v>
                </c:pt>
              </c:numCache>
            </c:numRef>
          </c:xVal>
          <c:yVal>
            <c:numRef>
              <c:f>'_CB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CDF1-4597-BBA8-46E928671D81}"/>
            </c:ext>
          </c:extLst>
        </c:ser>
        <c:ser>
          <c:idx val="89"/>
          <c:order val="31"/>
          <c:tx>
            <c:strRef>
              <c:f>'_CB Analysis'!$AA$298</c:f>
              <c:strCache>
                <c:ptCount val="1"/>
              </c:strCache>
            </c:strRef>
          </c:tx>
          <c:spPr>
            <a:ln w="12700">
              <a:solidFill>
                <a:srgbClr val="000000"/>
              </a:solidFill>
            </a:ln>
          </c:spPr>
          <c:marker>
            <c:symbol val="none"/>
          </c:marker>
          <c:xVal>
            <c:numRef>
              <c:f>'_CB Analysis'!$AB$298:$AC$298</c:f>
              <c:numCache>
                <c:formatCode>General</c:formatCode>
                <c:ptCount val="2"/>
                <c:pt idx="0">
                  <c:v>#N/A</c:v>
                </c:pt>
                <c:pt idx="1">
                  <c:v>#N/A</c:v>
                </c:pt>
              </c:numCache>
            </c:numRef>
          </c:xVal>
          <c:yVal>
            <c:numRef>
              <c:f>'_CB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CDF1-4597-BBA8-46E928671D81}"/>
            </c:ext>
          </c:extLst>
        </c:ser>
        <c:ser>
          <c:idx val="88"/>
          <c:order val="32"/>
          <c:tx>
            <c:strRef>
              <c:f>'_CB Analysis'!$AA$297</c:f>
              <c:strCache>
                <c:ptCount val="1"/>
              </c:strCache>
            </c:strRef>
          </c:tx>
          <c:spPr>
            <a:ln w="12700">
              <a:solidFill>
                <a:srgbClr val="000000"/>
              </a:solidFill>
            </a:ln>
          </c:spPr>
          <c:marker>
            <c:symbol val="none"/>
          </c:marker>
          <c:xVal>
            <c:numRef>
              <c:f>'_CB Analysis'!$AB$297:$AC$297</c:f>
              <c:numCache>
                <c:formatCode>General</c:formatCode>
                <c:ptCount val="2"/>
                <c:pt idx="0">
                  <c:v>#N/A</c:v>
                </c:pt>
                <c:pt idx="1">
                  <c:v>#N/A</c:v>
                </c:pt>
              </c:numCache>
            </c:numRef>
          </c:xVal>
          <c:yVal>
            <c:numRef>
              <c:f>'_CB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CDF1-4597-BBA8-46E928671D81}"/>
            </c:ext>
          </c:extLst>
        </c:ser>
        <c:ser>
          <c:idx val="87"/>
          <c:order val="33"/>
          <c:tx>
            <c:strRef>
              <c:f>'_CB Analysis'!$AA$296</c:f>
              <c:strCache>
                <c:ptCount val="1"/>
              </c:strCache>
            </c:strRef>
          </c:tx>
          <c:spPr>
            <a:ln w="12700">
              <a:solidFill>
                <a:srgbClr val="000000"/>
              </a:solidFill>
            </a:ln>
          </c:spPr>
          <c:marker>
            <c:symbol val="none"/>
          </c:marker>
          <c:xVal>
            <c:numRef>
              <c:f>'_CB Analysis'!$AB$296:$AC$296</c:f>
              <c:numCache>
                <c:formatCode>General</c:formatCode>
                <c:ptCount val="2"/>
                <c:pt idx="0">
                  <c:v>#N/A</c:v>
                </c:pt>
                <c:pt idx="1">
                  <c:v>#N/A</c:v>
                </c:pt>
              </c:numCache>
            </c:numRef>
          </c:xVal>
          <c:yVal>
            <c:numRef>
              <c:f>'_CB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CDF1-4597-BBA8-46E928671D81}"/>
            </c:ext>
          </c:extLst>
        </c:ser>
        <c:ser>
          <c:idx val="86"/>
          <c:order val="34"/>
          <c:tx>
            <c:strRef>
              <c:f>'_CB Analysis'!$AA$295</c:f>
              <c:strCache>
                <c:ptCount val="1"/>
              </c:strCache>
            </c:strRef>
          </c:tx>
          <c:spPr>
            <a:ln w="12700">
              <a:solidFill>
                <a:srgbClr val="000000"/>
              </a:solidFill>
            </a:ln>
          </c:spPr>
          <c:marker>
            <c:symbol val="none"/>
          </c:marker>
          <c:xVal>
            <c:numRef>
              <c:f>'_CB Analysis'!$AB$295:$AC$295</c:f>
              <c:numCache>
                <c:formatCode>General</c:formatCode>
                <c:ptCount val="2"/>
                <c:pt idx="0">
                  <c:v>#N/A</c:v>
                </c:pt>
                <c:pt idx="1">
                  <c:v>#N/A</c:v>
                </c:pt>
              </c:numCache>
            </c:numRef>
          </c:xVal>
          <c:yVal>
            <c:numRef>
              <c:f>'_CB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CDF1-4597-BBA8-46E928671D81}"/>
            </c:ext>
          </c:extLst>
        </c:ser>
        <c:ser>
          <c:idx val="85"/>
          <c:order val="35"/>
          <c:tx>
            <c:strRef>
              <c:f>'_CB Analysis'!$AA$294</c:f>
              <c:strCache>
                <c:ptCount val="1"/>
              </c:strCache>
            </c:strRef>
          </c:tx>
          <c:spPr>
            <a:ln w="12700">
              <a:solidFill>
                <a:srgbClr val="000000"/>
              </a:solidFill>
            </a:ln>
          </c:spPr>
          <c:marker>
            <c:symbol val="none"/>
          </c:marker>
          <c:xVal>
            <c:numRef>
              <c:f>'_CB Analysis'!$AB$294:$AC$294</c:f>
              <c:numCache>
                <c:formatCode>General</c:formatCode>
                <c:ptCount val="2"/>
                <c:pt idx="0">
                  <c:v>#N/A</c:v>
                </c:pt>
                <c:pt idx="1">
                  <c:v>#N/A</c:v>
                </c:pt>
              </c:numCache>
            </c:numRef>
          </c:xVal>
          <c:yVal>
            <c:numRef>
              <c:f>'_CB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CDF1-4597-BBA8-46E928671D81}"/>
            </c:ext>
          </c:extLst>
        </c:ser>
        <c:ser>
          <c:idx val="84"/>
          <c:order val="36"/>
          <c:tx>
            <c:strRef>
              <c:f>'_CB Analysis'!$AA$293</c:f>
              <c:strCache>
                <c:ptCount val="1"/>
              </c:strCache>
            </c:strRef>
          </c:tx>
          <c:spPr>
            <a:ln w="12700">
              <a:solidFill>
                <a:srgbClr val="000000"/>
              </a:solidFill>
            </a:ln>
          </c:spPr>
          <c:marker>
            <c:symbol val="none"/>
          </c:marker>
          <c:xVal>
            <c:numRef>
              <c:f>'_CB Analysis'!$AB$293:$AC$293</c:f>
              <c:numCache>
                <c:formatCode>General</c:formatCode>
                <c:ptCount val="2"/>
                <c:pt idx="0">
                  <c:v>#N/A</c:v>
                </c:pt>
                <c:pt idx="1">
                  <c:v>#N/A</c:v>
                </c:pt>
              </c:numCache>
            </c:numRef>
          </c:xVal>
          <c:yVal>
            <c:numRef>
              <c:f>'_CB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CDF1-4597-BBA8-46E928671D81}"/>
            </c:ext>
          </c:extLst>
        </c:ser>
        <c:ser>
          <c:idx val="83"/>
          <c:order val="37"/>
          <c:tx>
            <c:strRef>
              <c:f>'_CB Analysis'!$AA$292</c:f>
              <c:strCache>
                <c:ptCount val="1"/>
              </c:strCache>
            </c:strRef>
          </c:tx>
          <c:spPr>
            <a:ln w="12700">
              <a:solidFill>
                <a:srgbClr val="000000"/>
              </a:solidFill>
            </a:ln>
          </c:spPr>
          <c:marker>
            <c:symbol val="none"/>
          </c:marker>
          <c:xVal>
            <c:numRef>
              <c:f>'_CB Analysis'!$AB$292:$AC$292</c:f>
              <c:numCache>
                <c:formatCode>General</c:formatCode>
                <c:ptCount val="2"/>
                <c:pt idx="0">
                  <c:v>#N/A</c:v>
                </c:pt>
                <c:pt idx="1">
                  <c:v>#N/A</c:v>
                </c:pt>
              </c:numCache>
            </c:numRef>
          </c:xVal>
          <c:yVal>
            <c:numRef>
              <c:f>'_CB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CDF1-4597-BBA8-46E928671D81}"/>
            </c:ext>
          </c:extLst>
        </c:ser>
        <c:ser>
          <c:idx val="82"/>
          <c:order val="38"/>
          <c:tx>
            <c:strRef>
              <c:f>'_CB Analysis'!$AA$291</c:f>
              <c:strCache>
                <c:ptCount val="1"/>
              </c:strCache>
            </c:strRef>
          </c:tx>
          <c:spPr>
            <a:ln w="12700">
              <a:solidFill>
                <a:srgbClr val="000000"/>
              </a:solidFill>
            </a:ln>
          </c:spPr>
          <c:marker>
            <c:symbol val="none"/>
          </c:marker>
          <c:xVal>
            <c:numRef>
              <c:f>'_CB Analysis'!$AB$291:$AC$291</c:f>
              <c:numCache>
                <c:formatCode>General</c:formatCode>
                <c:ptCount val="2"/>
                <c:pt idx="0">
                  <c:v>#N/A</c:v>
                </c:pt>
                <c:pt idx="1">
                  <c:v>#N/A</c:v>
                </c:pt>
              </c:numCache>
            </c:numRef>
          </c:xVal>
          <c:yVal>
            <c:numRef>
              <c:f>'_CB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CDF1-4597-BBA8-46E928671D81}"/>
            </c:ext>
          </c:extLst>
        </c:ser>
        <c:ser>
          <c:idx val="81"/>
          <c:order val="39"/>
          <c:tx>
            <c:strRef>
              <c:f>'_CB Analysis'!$AA$290</c:f>
              <c:strCache>
                <c:ptCount val="1"/>
              </c:strCache>
            </c:strRef>
          </c:tx>
          <c:spPr>
            <a:ln w="12700">
              <a:solidFill>
                <a:srgbClr val="000000"/>
              </a:solidFill>
            </a:ln>
          </c:spPr>
          <c:marker>
            <c:symbol val="none"/>
          </c:marker>
          <c:xVal>
            <c:numRef>
              <c:f>'_CB Analysis'!$AB$290:$AC$290</c:f>
              <c:numCache>
                <c:formatCode>General</c:formatCode>
                <c:ptCount val="2"/>
                <c:pt idx="0">
                  <c:v>#N/A</c:v>
                </c:pt>
                <c:pt idx="1">
                  <c:v>#N/A</c:v>
                </c:pt>
              </c:numCache>
            </c:numRef>
          </c:xVal>
          <c:yVal>
            <c:numRef>
              <c:f>'_CB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CDF1-4597-BBA8-46E928671D81}"/>
            </c:ext>
          </c:extLst>
        </c:ser>
        <c:ser>
          <c:idx val="80"/>
          <c:order val="40"/>
          <c:tx>
            <c:strRef>
              <c:f>'_CB Analysis'!$AA$289</c:f>
              <c:strCache>
                <c:ptCount val="1"/>
              </c:strCache>
            </c:strRef>
          </c:tx>
          <c:spPr>
            <a:ln w="12700">
              <a:solidFill>
                <a:srgbClr val="000000"/>
              </a:solidFill>
            </a:ln>
          </c:spPr>
          <c:marker>
            <c:symbol val="none"/>
          </c:marker>
          <c:xVal>
            <c:numRef>
              <c:f>'_CB Analysis'!$AB$289:$AC$289</c:f>
              <c:numCache>
                <c:formatCode>General</c:formatCode>
                <c:ptCount val="2"/>
                <c:pt idx="0">
                  <c:v>#N/A</c:v>
                </c:pt>
                <c:pt idx="1">
                  <c:v>#N/A</c:v>
                </c:pt>
              </c:numCache>
            </c:numRef>
          </c:xVal>
          <c:yVal>
            <c:numRef>
              <c:f>'_CB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CDF1-4597-BBA8-46E928671D81}"/>
            </c:ext>
          </c:extLst>
        </c:ser>
        <c:ser>
          <c:idx val="79"/>
          <c:order val="41"/>
          <c:tx>
            <c:strRef>
              <c:f>'_CB Analysis'!$AA$288</c:f>
              <c:strCache>
                <c:ptCount val="1"/>
              </c:strCache>
            </c:strRef>
          </c:tx>
          <c:spPr>
            <a:ln w="12700">
              <a:solidFill>
                <a:srgbClr val="000000"/>
              </a:solidFill>
            </a:ln>
          </c:spPr>
          <c:marker>
            <c:symbol val="none"/>
          </c:marker>
          <c:xVal>
            <c:numRef>
              <c:f>'_CB Analysis'!$AB$288:$AC$288</c:f>
              <c:numCache>
                <c:formatCode>General</c:formatCode>
                <c:ptCount val="2"/>
                <c:pt idx="0">
                  <c:v>#N/A</c:v>
                </c:pt>
                <c:pt idx="1">
                  <c:v>#N/A</c:v>
                </c:pt>
              </c:numCache>
            </c:numRef>
          </c:xVal>
          <c:yVal>
            <c:numRef>
              <c:f>'_CB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CDF1-4597-BBA8-46E928671D81}"/>
            </c:ext>
          </c:extLst>
        </c:ser>
        <c:ser>
          <c:idx val="78"/>
          <c:order val="42"/>
          <c:tx>
            <c:strRef>
              <c:f>'_CB Analysis'!$AA$287</c:f>
              <c:strCache>
                <c:ptCount val="1"/>
              </c:strCache>
            </c:strRef>
          </c:tx>
          <c:spPr>
            <a:ln w="12700">
              <a:solidFill>
                <a:srgbClr val="000000"/>
              </a:solidFill>
            </a:ln>
          </c:spPr>
          <c:marker>
            <c:symbol val="none"/>
          </c:marker>
          <c:xVal>
            <c:numRef>
              <c:f>'_CB Analysis'!$AB$287:$AC$287</c:f>
              <c:numCache>
                <c:formatCode>General</c:formatCode>
                <c:ptCount val="2"/>
                <c:pt idx="0">
                  <c:v>#N/A</c:v>
                </c:pt>
                <c:pt idx="1">
                  <c:v>#N/A</c:v>
                </c:pt>
              </c:numCache>
            </c:numRef>
          </c:xVal>
          <c:yVal>
            <c:numRef>
              <c:f>'_CB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CDF1-4597-BBA8-46E928671D81}"/>
            </c:ext>
          </c:extLst>
        </c:ser>
        <c:ser>
          <c:idx val="77"/>
          <c:order val="43"/>
          <c:tx>
            <c:strRef>
              <c:f>'_CB Analysis'!$AA$286</c:f>
              <c:strCache>
                <c:ptCount val="1"/>
              </c:strCache>
            </c:strRef>
          </c:tx>
          <c:spPr>
            <a:ln w="12700">
              <a:solidFill>
                <a:srgbClr val="000000"/>
              </a:solidFill>
            </a:ln>
          </c:spPr>
          <c:marker>
            <c:symbol val="none"/>
          </c:marker>
          <c:xVal>
            <c:numRef>
              <c:f>'_CB Analysis'!$AB$286:$AC$286</c:f>
              <c:numCache>
                <c:formatCode>General</c:formatCode>
                <c:ptCount val="2"/>
                <c:pt idx="0">
                  <c:v>#N/A</c:v>
                </c:pt>
                <c:pt idx="1">
                  <c:v>#N/A</c:v>
                </c:pt>
              </c:numCache>
            </c:numRef>
          </c:xVal>
          <c:yVal>
            <c:numRef>
              <c:f>'_CB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CDF1-4597-BBA8-46E928671D81}"/>
            </c:ext>
          </c:extLst>
        </c:ser>
        <c:ser>
          <c:idx val="76"/>
          <c:order val="44"/>
          <c:tx>
            <c:strRef>
              <c:f>'_CB Analysis'!$AA$285</c:f>
              <c:strCache>
                <c:ptCount val="1"/>
              </c:strCache>
            </c:strRef>
          </c:tx>
          <c:spPr>
            <a:ln w="12700">
              <a:solidFill>
                <a:srgbClr val="000000"/>
              </a:solidFill>
            </a:ln>
          </c:spPr>
          <c:marker>
            <c:symbol val="none"/>
          </c:marker>
          <c:xVal>
            <c:numRef>
              <c:f>'_CB Analysis'!$AB$285:$AC$285</c:f>
              <c:numCache>
                <c:formatCode>General</c:formatCode>
                <c:ptCount val="2"/>
                <c:pt idx="0">
                  <c:v>#N/A</c:v>
                </c:pt>
                <c:pt idx="1">
                  <c:v>#N/A</c:v>
                </c:pt>
              </c:numCache>
            </c:numRef>
          </c:xVal>
          <c:yVal>
            <c:numRef>
              <c:f>'_CB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CDF1-4597-BBA8-46E928671D81}"/>
            </c:ext>
          </c:extLst>
        </c:ser>
        <c:ser>
          <c:idx val="75"/>
          <c:order val="45"/>
          <c:tx>
            <c:strRef>
              <c:f>'_CB Analysis'!$AA$284</c:f>
              <c:strCache>
                <c:ptCount val="1"/>
              </c:strCache>
            </c:strRef>
          </c:tx>
          <c:spPr>
            <a:ln w="12700">
              <a:solidFill>
                <a:srgbClr val="000000"/>
              </a:solidFill>
            </a:ln>
          </c:spPr>
          <c:marker>
            <c:symbol val="none"/>
          </c:marker>
          <c:xVal>
            <c:numRef>
              <c:f>'_CB Analysis'!$AB$284:$AC$284</c:f>
              <c:numCache>
                <c:formatCode>General</c:formatCode>
                <c:ptCount val="2"/>
                <c:pt idx="0">
                  <c:v>#N/A</c:v>
                </c:pt>
                <c:pt idx="1">
                  <c:v>#N/A</c:v>
                </c:pt>
              </c:numCache>
            </c:numRef>
          </c:xVal>
          <c:yVal>
            <c:numRef>
              <c:f>'_CB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CDF1-4597-BBA8-46E928671D81}"/>
            </c:ext>
          </c:extLst>
        </c:ser>
        <c:ser>
          <c:idx val="74"/>
          <c:order val="46"/>
          <c:tx>
            <c:strRef>
              <c:f>'_CB Analysis'!$AA$283</c:f>
              <c:strCache>
                <c:ptCount val="1"/>
              </c:strCache>
            </c:strRef>
          </c:tx>
          <c:spPr>
            <a:ln w="12700">
              <a:solidFill>
                <a:srgbClr val="000000"/>
              </a:solidFill>
            </a:ln>
          </c:spPr>
          <c:marker>
            <c:symbol val="none"/>
          </c:marker>
          <c:xVal>
            <c:numRef>
              <c:f>'_CB Analysis'!$AB$283:$AC$283</c:f>
              <c:numCache>
                <c:formatCode>General</c:formatCode>
                <c:ptCount val="2"/>
                <c:pt idx="0">
                  <c:v>#N/A</c:v>
                </c:pt>
                <c:pt idx="1">
                  <c:v>#N/A</c:v>
                </c:pt>
              </c:numCache>
            </c:numRef>
          </c:xVal>
          <c:yVal>
            <c:numRef>
              <c:f>'_CB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CDF1-4597-BBA8-46E928671D81}"/>
            </c:ext>
          </c:extLst>
        </c:ser>
        <c:ser>
          <c:idx val="73"/>
          <c:order val="47"/>
          <c:tx>
            <c:strRef>
              <c:f>'_CB Analysis'!$AA$282</c:f>
              <c:strCache>
                <c:ptCount val="1"/>
              </c:strCache>
            </c:strRef>
          </c:tx>
          <c:spPr>
            <a:ln w="12700">
              <a:solidFill>
                <a:srgbClr val="000000"/>
              </a:solidFill>
            </a:ln>
          </c:spPr>
          <c:marker>
            <c:symbol val="none"/>
          </c:marker>
          <c:xVal>
            <c:numRef>
              <c:f>'_CB Analysis'!$AB$282:$AC$282</c:f>
              <c:numCache>
                <c:formatCode>General</c:formatCode>
                <c:ptCount val="2"/>
                <c:pt idx="0">
                  <c:v>#N/A</c:v>
                </c:pt>
                <c:pt idx="1">
                  <c:v>#N/A</c:v>
                </c:pt>
              </c:numCache>
            </c:numRef>
          </c:xVal>
          <c:yVal>
            <c:numRef>
              <c:f>'_CB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CDF1-4597-BBA8-46E928671D81}"/>
            </c:ext>
          </c:extLst>
        </c:ser>
        <c:ser>
          <c:idx val="72"/>
          <c:order val="48"/>
          <c:tx>
            <c:strRef>
              <c:f>'_CB Analysis'!$AA$281</c:f>
              <c:strCache>
                <c:ptCount val="1"/>
              </c:strCache>
            </c:strRef>
          </c:tx>
          <c:spPr>
            <a:ln w="12700">
              <a:solidFill>
                <a:srgbClr val="000000"/>
              </a:solidFill>
            </a:ln>
          </c:spPr>
          <c:marker>
            <c:symbol val="none"/>
          </c:marker>
          <c:xVal>
            <c:numRef>
              <c:f>'_CB Analysis'!$AB$281:$AC$281</c:f>
              <c:numCache>
                <c:formatCode>General</c:formatCode>
                <c:ptCount val="2"/>
                <c:pt idx="0">
                  <c:v>#N/A</c:v>
                </c:pt>
                <c:pt idx="1">
                  <c:v>#N/A</c:v>
                </c:pt>
              </c:numCache>
            </c:numRef>
          </c:xVal>
          <c:yVal>
            <c:numRef>
              <c:f>'_CB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CDF1-4597-BBA8-46E928671D81}"/>
            </c:ext>
          </c:extLst>
        </c:ser>
        <c:ser>
          <c:idx val="71"/>
          <c:order val="49"/>
          <c:tx>
            <c:strRef>
              <c:f>'_CB Analysis'!$AA$280</c:f>
              <c:strCache>
                <c:ptCount val="1"/>
              </c:strCache>
            </c:strRef>
          </c:tx>
          <c:spPr>
            <a:ln w="12700">
              <a:solidFill>
                <a:srgbClr val="000000"/>
              </a:solidFill>
            </a:ln>
          </c:spPr>
          <c:marker>
            <c:symbol val="none"/>
          </c:marker>
          <c:xVal>
            <c:numRef>
              <c:f>'_CB Analysis'!$AB$280:$AC$280</c:f>
              <c:numCache>
                <c:formatCode>General</c:formatCode>
                <c:ptCount val="2"/>
                <c:pt idx="0">
                  <c:v>#N/A</c:v>
                </c:pt>
                <c:pt idx="1">
                  <c:v>#N/A</c:v>
                </c:pt>
              </c:numCache>
            </c:numRef>
          </c:xVal>
          <c:yVal>
            <c:numRef>
              <c:f>'_CB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CDF1-4597-BBA8-46E928671D81}"/>
            </c:ext>
          </c:extLst>
        </c:ser>
        <c:ser>
          <c:idx val="70"/>
          <c:order val="50"/>
          <c:tx>
            <c:strRef>
              <c:f>'_CB Analysis'!$AA$279</c:f>
              <c:strCache>
                <c:ptCount val="1"/>
              </c:strCache>
            </c:strRef>
          </c:tx>
          <c:spPr>
            <a:ln w="12700">
              <a:solidFill>
                <a:srgbClr val="000000"/>
              </a:solidFill>
            </a:ln>
          </c:spPr>
          <c:marker>
            <c:symbol val="none"/>
          </c:marker>
          <c:xVal>
            <c:numRef>
              <c:f>'_CB Analysis'!$AB$279:$AC$279</c:f>
              <c:numCache>
                <c:formatCode>General</c:formatCode>
                <c:ptCount val="2"/>
                <c:pt idx="0">
                  <c:v>#N/A</c:v>
                </c:pt>
                <c:pt idx="1">
                  <c:v>#N/A</c:v>
                </c:pt>
              </c:numCache>
            </c:numRef>
          </c:xVal>
          <c:yVal>
            <c:numRef>
              <c:f>'_CB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CDF1-4597-BBA8-46E928671D81}"/>
            </c:ext>
          </c:extLst>
        </c:ser>
        <c:ser>
          <c:idx val="69"/>
          <c:order val="51"/>
          <c:tx>
            <c:strRef>
              <c:f>'_CB Analysis'!$AA$278</c:f>
              <c:strCache>
                <c:ptCount val="1"/>
              </c:strCache>
            </c:strRef>
          </c:tx>
          <c:spPr>
            <a:ln w="12700">
              <a:solidFill>
                <a:srgbClr val="000000"/>
              </a:solidFill>
            </a:ln>
          </c:spPr>
          <c:marker>
            <c:symbol val="none"/>
          </c:marker>
          <c:xVal>
            <c:numRef>
              <c:f>'_CB Analysis'!$AB$278:$AC$278</c:f>
              <c:numCache>
                <c:formatCode>General</c:formatCode>
                <c:ptCount val="2"/>
                <c:pt idx="0">
                  <c:v>#N/A</c:v>
                </c:pt>
                <c:pt idx="1">
                  <c:v>#N/A</c:v>
                </c:pt>
              </c:numCache>
            </c:numRef>
          </c:xVal>
          <c:yVal>
            <c:numRef>
              <c:f>'_CB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CDF1-4597-BBA8-46E928671D81}"/>
            </c:ext>
          </c:extLst>
        </c:ser>
        <c:ser>
          <c:idx val="68"/>
          <c:order val="52"/>
          <c:tx>
            <c:strRef>
              <c:f>'_CB Analysis'!$AA$277</c:f>
              <c:strCache>
                <c:ptCount val="1"/>
              </c:strCache>
            </c:strRef>
          </c:tx>
          <c:spPr>
            <a:ln w="12700">
              <a:solidFill>
                <a:srgbClr val="000000"/>
              </a:solidFill>
            </a:ln>
          </c:spPr>
          <c:marker>
            <c:symbol val="none"/>
          </c:marker>
          <c:xVal>
            <c:numRef>
              <c:f>'_CB Analysis'!$AB$277:$AC$277</c:f>
              <c:numCache>
                <c:formatCode>General</c:formatCode>
                <c:ptCount val="2"/>
                <c:pt idx="0">
                  <c:v>#N/A</c:v>
                </c:pt>
                <c:pt idx="1">
                  <c:v>#N/A</c:v>
                </c:pt>
              </c:numCache>
            </c:numRef>
          </c:xVal>
          <c:yVal>
            <c:numRef>
              <c:f>'_CB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CDF1-4597-BBA8-46E928671D81}"/>
            </c:ext>
          </c:extLst>
        </c:ser>
        <c:ser>
          <c:idx val="67"/>
          <c:order val="53"/>
          <c:tx>
            <c:strRef>
              <c:f>'_CB Analysis'!$AA$276</c:f>
              <c:strCache>
                <c:ptCount val="1"/>
              </c:strCache>
            </c:strRef>
          </c:tx>
          <c:spPr>
            <a:ln w="12700">
              <a:solidFill>
                <a:srgbClr val="000000"/>
              </a:solidFill>
            </a:ln>
          </c:spPr>
          <c:marker>
            <c:symbol val="none"/>
          </c:marker>
          <c:xVal>
            <c:numRef>
              <c:f>'_CB Analysis'!$AB$276:$AC$276</c:f>
              <c:numCache>
                <c:formatCode>General</c:formatCode>
                <c:ptCount val="2"/>
                <c:pt idx="0">
                  <c:v>#N/A</c:v>
                </c:pt>
                <c:pt idx="1">
                  <c:v>#N/A</c:v>
                </c:pt>
              </c:numCache>
            </c:numRef>
          </c:xVal>
          <c:yVal>
            <c:numRef>
              <c:f>'_CB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CDF1-4597-BBA8-46E928671D81}"/>
            </c:ext>
          </c:extLst>
        </c:ser>
        <c:ser>
          <c:idx val="66"/>
          <c:order val="54"/>
          <c:tx>
            <c:strRef>
              <c:f>'_CB Analysis'!$AA$275</c:f>
              <c:strCache>
                <c:ptCount val="1"/>
              </c:strCache>
            </c:strRef>
          </c:tx>
          <c:spPr>
            <a:ln w="12700">
              <a:solidFill>
                <a:srgbClr val="000000"/>
              </a:solidFill>
            </a:ln>
          </c:spPr>
          <c:marker>
            <c:symbol val="none"/>
          </c:marker>
          <c:xVal>
            <c:numRef>
              <c:f>'_CB Analysis'!$AB$275:$AC$275</c:f>
              <c:numCache>
                <c:formatCode>General</c:formatCode>
                <c:ptCount val="2"/>
                <c:pt idx="0">
                  <c:v>#N/A</c:v>
                </c:pt>
                <c:pt idx="1">
                  <c:v>#N/A</c:v>
                </c:pt>
              </c:numCache>
            </c:numRef>
          </c:xVal>
          <c:yVal>
            <c:numRef>
              <c:f>'_CB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CDF1-4597-BBA8-46E928671D81}"/>
            </c:ext>
          </c:extLst>
        </c:ser>
        <c:ser>
          <c:idx val="65"/>
          <c:order val="55"/>
          <c:tx>
            <c:strRef>
              <c:f>'_CB Analysis'!$AA$274</c:f>
              <c:strCache>
                <c:ptCount val="1"/>
              </c:strCache>
            </c:strRef>
          </c:tx>
          <c:spPr>
            <a:ln w="12700">
              <a:solidFill>
                <a:srgbClr val="000000"/>
              </a:solidFill>
            </a:ln>
          </c:spPr>
          <c:marker>
            <c:symbol val="none"/>
          </c:marker>
          <c:xVal>
            <c:numRef>
              <c:f>'_CB Analysis'!$AB$274:$AC$274</c:f>
              <c:numCache>
                <c:formatCode>General</c:formatCode>
                <c:ptCount val="2"/>
                <c:pt idx="0">
                  <c:v>#N/A</c:v>
                </c:pt>
                <c:pt idx="1">
                  <c:v>#N/A</c:v>
                </c:pt>
              </c:numCache>
            </c:numRef>
          </c:xVal>
          <c:yVal>
            <c:numRef>
              <c:f>'_CB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CDF1-4597-BBA8-46E928671D81}"/>
            </c:ext>
          </c:extLst>
        </c:ser>
        <c:ser>
          <c:idx val="64"/>
          <c:order val="56"/>
          <c:tx>
            <c:strRef>
              <c:f>'_CB Analysis'!$AA$273</c:f>
              <c:strCache>
                <c:ptCount val="1"/>
              </c:strCache>
            </c:strRef>
          </c:tx>
          <c:spPr>
            <a:ln w="12700">
              <a:solidFill>
                <a:srgbClr val="000000"/>
              </a:solidFill>
            </a:ln>
          </c:spPr>
          <c:marker>
            <c:symbol val="none"/>
          </c:marker>
          <c:xVal>
            <c:numRef>
              <c:f>'_CB Analysis'!$AB$273:$AC$273</c:f>
              <c:numCache>
                <c:formatCode>General</c:formatCode>
                <c:ptCount val="2"/>
                <c:pt idx="0">
                  <c:v>#N/A</c:v>
                </c:pt>
                <c:pt idx="1">
                  <c:v>#N/A</c:v>
                </c:pt>
              </c:numCache>
            </c:numRef>
          </c:xVal>
          <c:yVal>
            <c:numRef>
              <c:f>'_CB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CDF1-4597-BBA8-46E928671D81}"/>
            </c:ext>
          </c:extLst>
        </c:ser>
        <c:ser>
          <c:idx val="63"/>
          <c:order val="57"/>
          <c:tx>
            <c:strRef>
              <c:f>'_CB Analysis'!$AA$272</c:f>
              <c:strCache>
                <c:ptCount val="1"/>
              </c:strCache>
            </c:strRef>
          </c:tx>
          <c:spPr>
            <a:ln w="12700">
              <a:solidFill>
                <a:srgbClr val="000000"/>
              </a:solidFill>
            </a:ln>
          </c:spPr>
          <c:marker>
            <c:symbol val="none"/>
          </c:marker>
          <c:xVal>
            <c:numRef>
              <c:f>'_CB Analysis'!$AB$272:$AC$272</c:f>
              <c:numCache>
                <c:formatCode>General</c:formatCode>
                <c:ptCount val="2"/>
                <c:pt idx="0">
                  <c:v>#N/A</c:v>
                </c:pt>
                <c:pt idx="1">
                  <c:v>#N/A</c:v>
                </c:pt>
              </c:numCache>
            </c:numRef>
          </c:xVal>
          <c:yVal>
            <c:numRef>
              <c:f>'_CB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CDF1-4597-BBA8-46E928671D81}"/>
            </c:ext>
          </c:extLst>
        </c:ser>
        <c:ser>
          <c:idx val="62"/>
          <c:order val="58"/>
          <c:tx>
            <c:strRef>
              <c:f>'_CB Analysis'!$AA$271</c:f>
              <c:strCache>
                <c:ptCount val="1"/>
              </c:strCache>
            </c:strRef>
          </c:tx>
          <c:spPr>
            <a:ln w="12700">
              <a:solidFill>
                <a:srgbClr val="000000"/>
              </a:solidFill>
            </a:ln>
          </c:spPr>
          <c:marker>
            <c:symbol val="none"/>
          </c:marker>
          <c:xVal>
            <c:numRef>
              <c:f>'_CB Analysis'!$AB$271:$AC$271</c:f>
              <c:numCache>
                <c:formatCode>General</c:formatCode>
                <c:ptCount val="2"/>
                <c:pt idx="0">
                  <c:v>#N/A</c:v>
                </c:pt>
                <c:pt idx="1">
                  <c:v>#N/A</c:v>
                </c:pt>
              </c:numCache>
            </c:numRef>
          </c:xVal>
          <c:yVal>
            <c:numRef>
              <c:f>'_CB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CDF1-4597-BBA8-46E928671D81}"/>
            </c:ext>
          </c:extLst>
        </c:ser>
        <c:ser>
          <c:idx val="61"/>
          <c:order val="59"/>
          <c:tx>
            <c:strRef>
              <c:f>'_CB Analysis'!$AA$270</c:f>
              <c:strCache>
                <c:ptCount val="1"/>
              </c:strCache>
            </c:strRef>
          </c:tx>
          <c:spPr>
            <a:ln w="12700">
              <a:solidFill>
                <a:srgbClr val="000000"/>
              </a:solidFill>
            </a:ln>
          </c:spPr>
          <c:marker>
            <c:symbol val="none"/>
          </c:marker>
          <c:xVal>
            <c:numRef>
              <c:f>'_CB Analysis'!$AB$270:$AC$270</c:f>
              <c:numCache>
                <c:formatCode>General</c:formatCode>
                <c:ptCount val="2"/>
                <c:pt idx="0">
                  <c:v>#N/A</c:v>
                </c:pt>
                <c:pt idx="1">
                  <c:v>#N/A</c:v>
                </c:pt>
              </c:numCache>
            </c:numRef>
          </c:xVal>
          <c:yVal>
            <c:numRef>
              <c:f>'_CB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CDF1-4597-BBA8-46E928671D81}"/>
            </c:ext>
          </c:extLst>
        </c:ser>
        <c:ser>
          <c:idx val="60"/>
          <c:order val="60"/>
          <c:tx>
            <c:strRef>
              <c:f>'_CB Analysis'!$AA$269</c:f>
              <c:strCache>
                <c:ptCount val="1"/>
              </c:strCache>
            </c:strRef>
          </c:tx>
          <c:spPr>
            <a:ln w="12700">
              <a:solidFill>
                <a:srgbClr val="000000"/>
              </a:solidFill>
            </a:ln>
          </c:spPr>
          <c:marker>
            <c:symbol val="none"/>
          </c:marker>
          <c:xVal>
            <c:numRef>
              <c:f>'_CB Analysis'!$AB$269:$AC$269</c:f>
              <c:numCache>
                <c:formatCode>General</c:formatCode>
                <c:ptCount val="2"/>
                <c:pt idx="0">
                  <c:v>#N/A</c:v>
                </c:pt>
                <c:pt idx="1">
                  <c:v>#N/A</c:v>
                </c:pt>
              </c:numCache>
            </c:numRef>
          </c:xVal>
          <c:yVal>
            <c:numRef>
              <c:f>'_CB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CDF1-4597-BBA8-46E928671D81}"/>
            </c:ext>
          </c:extLst>
        </c:ser>
        <c:ser>
          <c:idx val="59"/>
          <c:order val="61"/>
          <c:tx>
            <c:strRef>
              <c:f>'_CB Analysis'!$AA$268</c:f>
              <c:strCache>
                <c:ptCount val="1"/>
              </c:strCache>
            </c:strRef>
          </c:tx>
          <c:spPr>
            <a:ln w="12700">
              <a:solidFill>
                <a:srgbClr val="000000"/>
              </a:solidFill>
            </a:ln>
          </c:spPr>
          <c:marker>
            <c:symbol val="none"/>
          </c:marker>
          <c:xVal>
            <c:numRef>
              <c:f>'_CB Analysis'!$AB$268:$AC$268</c:f>
              <c:numCache>
                <c:formatCode>General</c:formatCode>
                <c:ptCount val="2"/>
                <c:pt idx="0">
                  <c:v>#N/A</c:v>
                </c:pt>
                <c:pt idx="1">
                  <c:v>#N/A</c:v>
                </c:pt>
              </c:numCache>
            </c:numRef>
          </c:xVal>
          <c:yVal>
            <c:numRef>
              <c:f>'_CB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CDF1-4597-BBA8-46E928671D81}"/>
            </c:ext>
          </c:extLst>
        </c:ser>
        <c:ser>
          <c:idx val="58"/>
          <c:order val="62"/>
          <c:tx>
            <c:strRef>
              <c:f>'_CB Analysis'!$AA$267</c:f>
              <c:strCache>
                <c:ptCount val="1"/>
              </c:strCache>
            </c:strRef>
          </c:tx>
          <c:spPr>
            <a:ln w="12700">
              <a:solidFill>
                <a:srgbClr val="000000"/>
              </a:solidFill>
            </a:ln>
          </c:spPr>
          <c:marker>
            <c:symbol val="none"/>
          </c:marker>
          <c:xVal>
            <c:numRef>
              <c:f>'_CB Analysis'!$AB$267:$AC$267</c:f>
              <c:numCache>
                <c:formatCode>General</c:formatCode>
                <c:ptCount val="2"/>
                <c:pt idx="0">
                  <c:v>#N/A</c:v>
                </c:pt>
                <c:pt idx="1">
                  <c:v>#N/A</c:v>
                </c:pt>
              </c:numCache>
            </c:numRef>
          </c:xVal>
          <c:yVal>
            <c:numRef>
              <c:f>'_CB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CDF1-4597-BBA8-46E928671D81}"/>
            </c:ext>
          </c:extLst>
        </c:ser>
        <c:ser>
          <c:idx val="57"/>
          <c:order val="63"/>
          <c:tx>
            <c:strRef>
              <c:f>'_CB Analysis'!$AA$266</c:f>
              <c:strCache>
                <c:ptCount val="1"/>
              </c:strCache>
            </c:strRef>
          </c:tx>
          <c:spPr>
            <a:ln w="12700">
              <a:solidFill>
                <a:srgbClr val="000000"/>
              </a:solidFill>
            </a:ln>
          </c:spPr>
          <c:marker>
            <c:symbol val="none"/>
          </c:marker>
          <c:xVal>
            <c:numRef>
              <c:f>'_CB Analysis'!$AB$266:$AC$266</c:f>
              <c:numCache>
                <c:formatCode>General</c:formatCode>
                <c:ptCount val="2"/>
                <c:pt idx="0">
                  <c:v>#N/A</c:v>
                </c:pt>
                <c:pt idx="1">
                  <c:v>#N/A</c:v>
                </c:pt>
              </c:numCache>
            </c:numRef>
          </c:xVal>
          <c:yVal>
            <c:numRef>
              <c:f>'_CB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CDF1-4597-BBA8-46E928671D81}"/>
            </c:ext>
          </c:extLst>
        </c:ser>
        <c:ser>
          <c:idx val="56"/>
          <c:order val="64"/>
          <c:tx>
            <c:strRef>
              <c:f>'_CB Analysis'!$AA$265</c:f>
              <c:strCache>
                <c:ptCount val="1"/>
              </c:strCache>
            </c:strRef>
          </c:tx>
          <c:spPr>
            <a:ln w="12700">
              <a:solidFill>
                <a:srgbClr val="000000"/>
              </a:solidFill>
            </a:ln>
          </c:spPr>
          <c:marker>
            <c:symbol val="none"/>
          </c:marker>
          <c:xVal>
            <c:numRef>
              <c:f>'_CB Analysis'!$AB$265:$AC$265</c:f>
              <c:numCache>
                <c:formatCode>General</c:formatCode>
                <c:ptCount val="2"/>
                <c:pt idx="0">
                  <c:v>#N/A</c:v>
                </c:pt>
                <c:pt idx="1">
                  <c:v>#N/A</c:v>
                </c:pt>
              </c:numCache>
            </c:numRef>
          </c:xVal>
          <c:yVal>
            <c:numRef>
              <c:f>'_CB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CDF1-4597-BBA8-46E928671D81}"/>
            </c:ext>
          </c:extLst>
        </c:ser>
        <c:ser>
          <c:idx val="55"/>
          <c:order val="65"/>
          <c:tx>
            <c:strRef>
              <c:f>'_CB Analysis'!$AA$264</c:f>
              <c:strCache>
                <c:ptCount val="1"/>
              </c:strCache>
            </c:strRef>
          </c:tx>
          <c:spPr>
            <a:ln w="12700">
              <a:solidFill>
                <a:srgbClr val="000000"/>
              </a:solidFill>
            </a:ln>
          </c:spPr>
          <c:marker>
            <c:symbol val="none"/>
          </c:marker>
          <c:xVal>
            <c:numRef>
              <c:f>'_CB Analysis'!$AB$264:$AC$264</c:f>
              <c:numCache>
                <c:formatCode>General</c:formatCode>
                <c:ptCount val="2"/>
                <c:pt idx="0">
                  <c:v>#N/A</c:v>
                </c:pt>
                <c:pt idx="1">
                  <c:v>#N/A</c:v>
                </c:pt>
              </c:numCache>
            </c:numRef>
          </c:xVal>
          <c:yVal>
            <c:numRef>
              <c:f>'_CB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CDF1-4597-BBA8-46E928671D81}"/>
            </c:ext>
          </c:extLst>
        </c:ser>
        <c:ser>
          <c:idx val="54"/>
          <c:order val="66"/>
          <c:tx>
            <c:strRef>
              <c:f>'_CB Analysis'!$AA$263</c:f>
              <c:strCache>
                <c:ptCount val="1"/>
              </c:strCache>
            </c:strRef>
          </c:tx>
          <c:spPr>
            <a:ln w="12700">
              <a:solidFill>
                <a:srgbClr val="000000"/>
              </a:solidFill>
            </a:ln>
          </c:spPr>
          <c:marker>
            <c:symbol val="none"/>
          </c:marker>
          <c:xVal>
            <c:numRef>
              <c:f>'_CB Analysis'!$AB$263:$AC$263</c:f>
              <c:numCache>
                <c:formatCode>General</c:formatCode>
                <c:ptCount val="2"/>
                <c:pt idx="0">
                  <c:v>#N/A</c:v>
                </c:pt>
                <c:pt idx="1">
                  <c:v>#N/A</c:v>
                </c:pt>
              </c:numCache>
            </c:numRef>
          </c:xVal>
          <c:yVal>
            <c:numRef>
              <c:f>'_CB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CDF1-4597-BBA8-46E928671D81}"/>
            </c:ext>
          </c:extLst>
        </c:ser>
        <c:ser>
          <c:idx val="53"/>
          <c:order val="67"/>
          <c:tx>
            <c:strRef>
              <c:f>'_CB Analysis'!$AA$262</c:f>
              <c:strCache>
                <c:ptCount val="1"/>
              </c:strCache>
            </c:strRef>
          </c:tx>
          <c:spPr>
            <a:ln w="12700">
              <a:solidFill>
                <a:srgbClr val="000000"/>
              </a:solidFill>
            </a:ln>
          </c:spPr>
          <c:marker>
            <c:symbol val="none"/>
          </c:marker>
          <c:xVal>
            <c:numRef>
              <c:f>'_CB Analysis'!$AB$262:$AC$262</c:f>
              <c:numCache>
                <c:formatCode>General</c:formatCode>
                <c:ptCount val="2"/>
                <c:pt idx="0">
                  <c:v>#N/A</c:v>
                </c:pt>
                <c:pt idx="1">
                  <c:v>#N/A</c:v>
                </c:pt>
              </c:numCache>
            </c:numRef>
          </c:xVal>
          <c:yVal>
            <c:numRef>
              <c:f>'_CB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CDF1-4597-BBA8-46E928671D81}"/>
            </c:ext>
          </c:extLst>
        </c:ser>
        <c:ser>
          <c:idx val="52"/>
          <c:order val="68"/>
          <c:tx>
            <c:strRef>
              <c:f>'_CB Analysis'!$AA$261</c:f>
              <c:strCache>
                <c:ptCount val="1"/>
              </c:strCache>
            </c:strRef>
          </c:tx>
          <c:spPr>
            <a:ln w="12700">
              <a:solidFill>
                <a:srgbClr val="000000"/>
              </a:solidFill>
            </a:ln>
          </c:spPr>
          <c:marker>
            <c:symbol val="none"/>
          </c:marker>
          <c:xVal>
            <c:numRef>
              <c:f>'_CB Analysis'!$AB$261:$AC$261</c:f>
              <c:numCache>
                <c:formatCode>General</c:formatCode>
                <c:ptCount val="2"/>
                <c:pt idx="0">
                  <c:v>#N/A</c:v>
                </c:pt>
                <c:pt idx="1">
                  <c:v>#N/A</c:v>
                </c:pt>
              </c:numCache>
            </c:numRef>
          </c:xVal>
          <c:yVal>
            <c:numRef>
              <c:f>'_CB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CDF1-4597-BBA8-46E928671D81}"/>
            </c:ext>
          </c:extLst>
        </c:ser>
        <c:ser>
          <c:idx val="51"/>
          <c:order val="69"/>
          <c:tx>
            <c:strRef>
              <c:f>'_CB Analysis'!$AA$260</c:f>
              <c:strCache>
                <c:ptCount val="1"/>
              </c:strCache>
            </c:strRef>
          </c:tx>
          <c:spPr>
            <a:ln w="12700">
              <a:solidFill>
                <a:srgbClr val="000000"/>
              </a:solidFill>
            </a:ln>
          </c:spPr>
          <c:marker>
            <c:symbol val="none"/>
          </c:marker>
          <c:xVal>
            <c:numRef>
              <c:f>'_CB Analysis'!$AB$260:$AC$260</c:f>
              <c:numCache>
                <c:formatCode>General</c:formatCode>
                <c:ptCount val="2"/>
                <c:pt idx="0">
                  <c:v>#N/A</c:v>
                </c:pt>
                <c:pt idx="1">
                  <c:v>#N/A</c:v>
                </c:pt>
              </c:numCache>
            </c:numRef>
          </c:xVal>
          <c:yVal>
            <c:numRef>
              <c:f>'_CB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CDF1-4597-BBA8-46E928671D81}"/>
            </c:ext>
          </c:extLst>
        </c:ser>
        <c:ser>
          <c:idx val="0"/>
          <c:order val="70"/>
          <c:spPr>
            <a:ln w="12700">
              <a:solidFill>
                <a:srgbClr val="000000"/>
              </a:solidFill>
              <a:prstDash val="solid"/>
            </a:ln>
          </c:spPr>
          <c:marker>
            <c:symbol val="none"/>
          </c:marker>
          <c:xVal>
            <c:strRef>
              <c:f>'_CB Analysis'!$AA$200:$AA$204</c:f>
              <c:strCache>
                <c:ptCount val="5"/>
                <c:pt idx="0">
                  <c:v>0</c:v>
                </c:pt>
                <c:pt idx="3">
                  <c:v>0</c:v>
                </c:pt>
                <c:pt idx="4">
                  <c:v>0</c:v>
                </c:pt>
              </c:strCache>
            </c:strRef>
          </c:xVal>
          <c:yVal>
            <c:numRef>
              <c:f>'_CB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CDF1-4597-BBA8-46E928671D81}"/>
            </c:ext>
          </c:extLst>
        </c:ser>
        <c:ser>
          <c:idx val="1"/>
          <c:order val="71"/>
          <c:tx>
            <c:strRef>
              <c:f>'_CB Analysis'!$AA$210</c:f>
              <c:strCache>
                <c:ptCount val="1"/>
              </c:strCache>
            </c:strRef>
          </c:tx>
          <c:spPr>
            <a:ln w="12700">
              <a:solidFill>
                <a:srgbClr val="000000"/>
              </a:solidFill>
            </a:ln>
          </c:spPr>
          <c:marker>
            <c:symbol val="none"/>
          </c:marker>
          <c:xVal>
            <c:numRef>
              <c:f>'_CB Analysis'!$AB$210:$AC$210</c:f>
              <c:numCache>
                <c:formatCode>General</c:formatCode>
                <c:ptCount val="2"/>
                <c:pt idx="0">
                  <c:v>#N/A</c:v>
                </c:pt>
                <c:pt idx="1">
                  <c:v>#N/A</c:v>
                </c:pt>
              </c:numCache>
            </c:numRef>
          </c:xVal>
          <c:yVal>
            <c:numRef>
              <c:f>'_CB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CDF1-4597-BBA8-46E928671D81}"/>
            </c:ext>
          </c:extLst>
        </c:ser>
        <c:ser>
          <c:idx val="2"/>
          <c:order val="72"/>
          <c:tx>
            <c:strRef>
              <c:f>'_CB Analysis'!$AA$211</c:f>
              <c:strCache>
                <c:ptCount val="1"/>
              </c:strCache>
            </c:strRef>
          </c:tx>
          <c:spPr>
            <a:ln w="12700">
              <a:solidFill>
                <a:srgbClr val="000000"/>
              </a:solidFill>
            </a:ln>
          </c:spPr>
          <c:marker>
            <c:symbol val="none"/>
          </c:marker>
          <c:xVal>
            <c:numRef>
              <c:f>'_CB Analysis'!$AB$211:$AC$211</c:f>
              <c:numCache>
                <c:formatCode>General</c:formatCode>
                <c:ptCount val="2"/>
                <c:pt idx="0">
                  <c:v>#N/A</c:v>
                </c:pt>
                <c:pt idx="1">
                  <c:v>#N/A</c:v>
                </c:pt>
              </c:numCache>
            </c:numRef>
          </c:xVal>
          <c:yVal>
            <c:numRef>
              <c:f>'_CB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CDF1-4597-BBA8-46E928671D81}"/>
            </c:ext>
          </c:extLst>
        </c:ser>
        <c:ser>
          <c:idx val="3"/>
          <c:order val="73"/>
          <c:tx>
            <c:strRef>
              <c:f>'_CB Analysis'!$AA$212</c:f>
              <c:strCache>
                <c:ptCount val="1"/>
              </c:strCache>
            </c:strRef>
          </c:tx>
          <c:spPr>
            <a:ln w="12700">
              <a:solidFill>
                <a:srgbClr val="000000"/>
              </a:solidFill>
            </a:ln>
          </c:spPr>
          <c:marker>
            <c:symbol val="none"/>
          </c:marker>
          <c:xVal>
            <c:numRef>
              <c:f>'_CB Analysis'!$AB$212:$AC$212</c:f>
              <c:numCache>
                <c:formatCode>General</c:formatCode>
                <c:ptCount val="2"/>
                <c:pt idx="0">
                  <c:v>#N/A</c:v>
                </c:pt>
                <c:pt idx="1">
                  <c:v>#N/A</c:v>
                </c:pt>
              </c:numCache>
            </c:numRef>
          </c:xVal>
          <c:yVal>
            <c:numRef>
              <c:f>'_CB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CDF1-4597-BBA8-46E928671D81}"/>
            </c:ext>
          </c:extLst>
        </c:ser>
        <c:ser>
          <c:idx val="4"/>
          <c:order val="74"/>
          <c:tx>
            <c:strRef>
              <c:f>'_CB Analysis'!$AA$213</c:f>
              <c:strCache>
                <c:ptCount val="1"/>
              </c:strCache>
            </c:strRef>
          </c:tx>
          <c:spPr>
            <a:ln w="12700">
              <a:solidFill>
                <a:srgbClr val="000000"/>
              </a:solidFill>
            </a:ln>
          </c:spPr>
          <c:marker>
            <c:symbol val="none"/>
          </c:marker>
          <c:xVal>
            <c:numRef>
              <c:f>'_CB Analysis'!$AB$213:$AC$213</c:f>
              <c:numCache>
                <c:formatCode>General</c:formatCode>
                <c:ptCount val="2"/>
                <c:pt idx="0">
                  <c:v>#N/A</c:v>
                </c:pt>
                <c:pt idx="1">
                  <c:v>#N/A</c:v>
                </c:pt>
              </c:numCache>
            </c:numRef>
          </c:xVal>
          <c:yVal>
            <c:numRef>
              <c:f>'_CB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CDF1-4597-BBA8-46E928671D81}"/>
            </c:ext>
          </c:extLst>
        </c:ser>
        <c:ser>
          <c:idx val="5"/>
          <c:order val="75"/>
          <c:tx>
            <c:strRef>
              <c:f>'_CB Analysis'!$AA$214</c:f>
              <c:strCache>
                <c:ptCount val="1"/>
              </c:strCache>
            </c:strRef>
          </c:tx>
          <c:spPr>
            <a:ln w="12700">
              <a:solidFill>
                <a:srgbClr val="000000"/>
              </a:solidFill>
            </a:ln>
          </c:spPr>
          <c:marker>
            <c:symbol val="none"/>
          </c:marker>
          <c:xVal>
            <c:numRef>
              <c:f>'_CB Analysis'!$AB$214:$AC$214</c:f>
              <c:numCache>
                <c:formatCode>General</c:formatCode>
                <c:ptCount val="2"/>
                <c:pt idx="0">
                  <c:v>#N/A</c:v>
                </c:pt>
                <c:pt idx="1">
                  <c:v>#N/A</c:v>
                </c:pt>
              </c:numCache>
            </c:numRef>
          </c:xVal>
          <c:yVal>
            <c:numRef>
              <c:f>'_CB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CDF1-4597-BBA8-46E928671D81}"/>
            </c:ext>
          </c:extLst>
        </c:ser>
        <c:ser>
          <c:idx val="6"/>
          <c:order val="76"/>
          <c:tx>
            <c:strRef>
              <c:f>'_CB Analysis'!$AA$215</c:f>
              <c:strCache>
                <c:ptCount val="1"/>
              </c:strCache>
            </c:strRef>
          </c:tx>
          <c:spPr>
            <a:ln w="12700">
              <a:solidFill>
                <a:srgbClr val="000000"/>
              </a:solidFill>
            </a:ln>
          </c:spPr>
          <c:marker>
            <c:symbol val="none"/>
          </c:marker>
          <c:xVal>
            <c:numRef>
              <c:f>'_CB Analysis'!$AB$215:$AC$215</c:f>
              <c:numCache>
                <c:formatCode>General</c:formatCode>
                <c:ptCount val="2"/>
                <c:pt idx="0">
                  <c:v>#N/A</c:v>
                </c:pt>
                <c:pt idx="1">
                  <c:v>#N/A</c:v>
                </c:pt>
              </c:numCache>
            </c:numRef>
          </c:xVal>
          <c:yVal>
            <c:numRef>
              <c:f>'_CB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CDF1-4597-BBA8-46E928671D81}"/>
            </c:ext>
          </c:extLst>
        </c:ser>
        <c:ser>
          <c:idx val="7"/>
          <c:order val="77"/>
          <c:tx>
            <c:strRef>
              <c:f>'_CB Analysis'!$AA$216</c:f>
              <c:strCache>
                <c:ptCount val="1"/>
              </c:strCache>
            </c:strRef>
          </c:tx>
          <c:spPr>
            <a:ln w="12700">
              <a:solidFill>
                <a:srgbClr val="000000"/>
              </a:solidFill>
            </a:ln>
          </c:spPr>
          <c:marker>
            <c:symbol val="none"/>
          </c:marker>
          <c:xVal>
            <c:numRef>
              <c:f>'_CB Analysis'!$AB$216:$AC$216</c:f>
              <c:numCache>
                <c:formatCode>General</c:formatCode>
                <c:ptCount val="2"/>
                <c:pt idx="0">
                  <c:v>#N/A</c:v>
                </c:pt>
                <c:pt idx="1">
                  <c:v>#N/A</c:v>
                </c:pt>
              </c:numCache>
            </c:numRef>
          </c:xVal>
          <c:yVal>
            <c:numRef>
              <c:f>'_CB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CDF1-4597-BBA8-46E928671D81}"/>
            </c:ext>
          </c:extLst>
        </c:ser>
        <c:ser>
          <c:idx val="8"/>
          <c:order val="78"/>
          <c:tx>
            <c:strRef>
              <c:f>'_CB Analysis'!$AA$217</c:f>
              <c:strCache>
                <c:ptCount val="1"/>
              </c:strCache>
            </c:strRef>
          </c:tx>
          <c:spPr>
            <a:ln w="12700">
              <a:solidFill>
                <a:srgbClr val="000000"/>
              </a:solidFill>
            </a:ln>
          </c:spPr>
          <c:marker>
            <c:symbol val="none"/>
          </c:marker>
          <c:xVal>
            <c:numRef>
              <c:f>'_CB Analysis'!$AB$217:$AC$217</c:f>
              <c:numCache>
                <c:formatCode>General</c:formatCode>
                <c:ptCount val="2"/>
                <c:pt idx="0">
                  <c:v>#N/A</c:v>
                </c:pt>
                <c:pt idx="1">
                  <c:v>#N/A</c:v>
                </c:pt>
              </c:numCache>
            </c:numRef>
          </c:xVal>
          <c:yVal>
            <c:numRef>
              <c:f>'_CB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CDF1-4597-BBA8-46E928671D81}"/>
            </c:ext>
          </c:extLst>
        </c:ser>
        <c:ser>
          <c:idx val="9"/>
          <c:order val="79"/>
          <c:tx>
            <c:strRef>
              <c:f>'_CB Analysis'!$AA$218</c:f>
              <c:strCache>
                <c:ptCount val="1"/>
              </c:strCache>
            </c:strRef>
          </c:tx>
          <c:spPr>
            <a:ln w="12700">
              <a:solidFill>
                <a:srgbClr val="000000"/>
              </a:solidFill>
            </a:ln>
          </c:spPr>
          <c:marker>
            <c:symbol val="none"/>
          </c:marker>
          <c:xVal>
            <c:numRef>
              <c:f>'_CB Analysis'!$AB$218:$AC$218</c:f>
              <c:numCache>
                <c:formatCode>General</c:formatCode>
                <c:ptCount val="2"/>
                <c:pt idx="0">
                  <c:v>#N/A</c:v>
                </c:pt>
                <c:pt idx="1">
                  <c:v>#N/A</c:v>
                </c:pt>
              </c:numCache>
            </c:numRef>
          </c:xVal>
          <c:yVal>
            <c:numRef>
              <c:f>'_CB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CDF1-4597-BBA8-46E928671D81}"/>
            </c:ext>
          </c:extLst>
        </c:ser>
        <c:ser>
          <c:idx val="10"/>
          <c:order val="80"/>
          <c:tx>
            <c:strRef>
              <c:f>'_CB Analysis'!$AA$219</c:f>
              <c:strCache>
                <c:ptCount val="1"/>
              </c:strCache>
            </c:strRef>
          </c:tx>
          <c:spPr>
            <a:ln w="12700">
              <a:solidFill>
                <a:srgbClr val="000000"/>
              </a:solidFill>
            </a:ln>
          </c:spPr>
          <c:marker>
            <c:symbol val="none"/>
          </c:marker>
          <c:xVal>
            <c:numRef>
              <c:f>'_CB Analysis'!$AB$219:$AC$219</c:f>
              <c:numCache>
                <c:formatCode>General</c:formatCode>
                <c:ptCount val="2"/>
                <c:pt idx="0">
                  <c:v>#N/A</c:v>
                </c:pt>
                <c:pt idx="1">
                  <c:v>#N/A</c:v>
                </c:pt>
              </c:numCache>
            </c:numRef>
          </c:xVal>
          <c:yVal>
            <c:numRef>
              <c:f>'_CB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CDF1-4597-BBA8-46E928671D81}"/>
            </c:ext>
          </c:extLst>
        </c:ser>
        <c:ser>
          <c:idx val="11"/>
          <c:order val="81"/>
          <c:tx>
            <c:strRef>
              <c:f>'_CB Analysis'!$AA$220</c:f>
              <c:strCache>
                <c:ptCount val="1"/>
              </c:strCache>
            </c:strRef>
          </c:tx>
          <c:spPr>
            <a:ln w="12700">
              <a:solidFill>
                <a:srgbClr val="000000"/>
              </a:solidFill>
            </a:ln>
          </c:spPr>
          <c:marker>
            <c:symbol val="none"/>
          </c:marker>
          <c:xVal>
            <c:numRef>
              <c:f>'_CB Analysis'!$AB$220:$AC$220</c:f>
              <c:numCache>
                <c:formatCode>General</c:formatCode>
                <c:ptCount val="2"/>
                <c:pt idx="0">
                  <c:v>#N/A</c:v>
                </c:pt>
                <c:pt idx="1">
                  <c:v>#N/A</c:v>
                </c:pt>
              </c:numCache>
            </c:numRef>
          </c:xVal>
          <c:yVal>
            <c:numRef>
              <c:f>'_CB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CDF1-4597-BBA8-46E928671D81}"/>
            </c:ext>
          </c:extLst>
        </c:ser>
        <c:ser>
          <c:idx val="12"/>
          <c:order val="82"/>
          <c:tx>
            <c:strRef>
              <c:f>'_CB Analysis'!$AA$221</c:f>
              <c:strCache>
                <c:ptCount val="1"/>
              </c:strCache>
            </c:strRef>
          </c:tx>
          <c:spPr>
            <a:ln w="12700">
              <a:solidFill>
                <a:srgbClr val="000000"/>
              </a:solidFill>
            </a:ln>
          </c:spPr>
          <c:marker>
            <c:symbol val="none"/>
          </c:marker>
          <c:xVal>
            <c:numRef>
              <c:f>'_CB Analysis'!$AB$221:$AC$221</c:f>
              <c:numCache>
                <c:formatCode>General</c:formatCode>
                <c:ptCount val="2"/>
                <c:pt idx="0">
                  <c:v>#N/A</c:v>
                </c:pt>
                <c:pt idx="1">
                  <c:v>#N/A</c:v>
                </c:pt>
              </c:numCache>
            </c:numRef>
          </c:xVal>
          <c:yVal>
            <c:numRef>
              <c:f>'_CB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CDF1-4597-BBA8-46E928671D81}"/>
            </c:ext>
          </c:extLst>
        </c:ser>
        <c:ser>
          <c:idx val="13"/>
          <c:order val="83"/>
          <c:tx>
            <c:strRef>
              <c:f>'_CB Analysis'!$AA$222</c:f>
              <c:strCache>
                <c:ptCount val="1"/>
              </c:strCache>
            </c:strRef>
          </c:tx>
          <c:spPr>
            <a:ln w="12700">
              <a:solidFill>
                <a:srgbClr val="000000"/>
              </a:solidFill>
            </a:ln>
          </c:spPr>
          <c:marker>
            <c:symbol val="none"/>
          </c:marker>
          <c:xVal>
            <c:numRef>
              <c:f>'_CB Analysis'!$AB$222:$AC$222</c:f>
              <c:numCache>
                <c:formatCode>General</c:formatCode>
                <c:ptCount val="2"/>
                <c:pt idx="0">
                  <c:v>#N/A</c:v>
                </c:pt>
                <c:pt idx="1">
                  <c:v>#N/A</c:v>
                </c:pt>
              </c:numCache>
            </c:numRef>
          </c:xVal>
          <c:yVal>
            <c:numRef>
              <c:f>'_CB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CDF1-4597-BBA8-46E928671D81}"/>
            </c:ext>
          </c:extLst>
        </c:ser>
        <c:ser>
          <c:idx val="14"/>
          <c:order val="84"/>
          <c:tx>
            <c:strRef>
              <c:f>'_CB Analysis'!$AA$223</c:f>
              <c:strCache>
                <c:ptCount val="1"/>
              </c:strCache>
            </c:strRef>
          </c:tx>
          <c:spPr>
            <a:ln w="12700">
              <a:solidFill>
                <a:srgbClr val="000000"/>
              </a:solidFill>
            </a:ln>
          </c:spPr>
          <c:marker>
            <c:symbol val="none"/>
          </c:marker>
          <c:xVal>
            <c:numRef>
              <c:f>'_CB Analysis'!$AB$223:$AC$223</c:f>
              <c:numCache>
                <c:formatCode>General</c:formatCode>
                <c:ptCount val="2"/>
                <c:pt idx="0">
                  <c:v>#N/A</c:v>
                </c:pt>
                <c:pt idx="1">
                  <c:v>#N/A</c:v>
                </c:pt>
              </c:numCache>
            </c:numRef>
          </c:xVal>
          <c:yVal>
            <c:numRef>
              <c:f>'_CB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CDF1-4597-BBA8-46E928671D81}"/>
            </c:ext>
          </c:extLst>
        </c:ser>
        <c:ser>
          <c:idx val="15"/>
          <c:order val="85"/>
          <c:tx>
            <c:strRef>
              <c:f>'_CB Analysis'!$AA$224</c:f>
              <c:strCache>
                <c:ptCount val="1"/>
              </c:strCache>
            </c:strRef>
          </c:tx>
          <c:spPr>
            <a:ln w="12700">
              <a:solidFill>
                <a:srgbClr val="000000"/>
              </a:solidFill>
            </a:ln>
          </c:spPr>
          <c:marker>
            <c:symbol val="none"/>
          </c:marker>
          <c:xVal>
            <c:numRef>
              <c:f>'_CB Analysis'!$AB$224:$AC$224</c:f>
              <c:numCache>
                <c:formatCode>General</c:formatCode>
                <c:ptCount val="2"/>
                <c:pt idx="0">
                  <c:v>#N/A</c:v>
                </c:pt>
                <c:pt idx="1">
                  <c:v>#N/A</c:v>
                </c:pt>
              </c:numCache>
            </c:numRef>
          </c:xVal>
          <c:yVal>
            <c:numRef>
              <c:f>'_CB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CDF1-4597-BBA8-46E928671D81}"/>
            </c:ext>
          </c:extLst>
        </c:ser>
        <c:ser>
          <c:idx val="16"/>
          <c:order val="86"/>
          <c:tx>
            <c:strRef>
              <c:f>'_CB Analysis'!$AA$225</c:f>
              <c:strCache>
                <c:ptCount val="1"/>
              </c:strCache>
            </c:strRef>
          </c:tx>
          <c:spPr>
            <a:ln w="12700">
              <a:solidFill>
                <a:srgbClr val="000000"/>
              </a:solidFill>
            </a:ln>
          </c:spPr>
          <c:marker>
            <c:symbol val="none"/>
          </c:marker>
          <c:xVal>
            <c:numRef>
              <c:f>'_CB Analysis'!$AB$225:$AC$225</c:f>
              <c:numCache>
                <c:formatCode>General</c:formatCode>
                <c:ptCount val="2"/>
                <c:pt idx="0">
                  <c:v>#N/A</c:v>
                </c:pt>
                <c:pt idx="1">
                  <c:v>#N/A</c:v>
                </c:pt>
              </c:numCache>
            </c:numRef>
          </c:xVal>
          <c:yVal>
            <c:numRef>
              <c:f>'_CB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CDF1-4597-BBA8-46E928671D81}"/>
            </c:ext>
          </c:extLst>
        </c:ser>
        <c:ser>
          <c:idx val="17"/>
          <c:order val="87"/>
          <c:tx>
            <c:strRef>
              <c:f>'_CB Analysis'!$AA$226</c:f>
              <c:strCache>
                <c:ptCount val="1"/>
              </c:strCache>
            </c:strRef>
          </c:tx>
          <c:spPr>
            <a:ln w="12700">
              <a:solidFill>
                <a:srgbClr val="000000"/>
              </a:solidFill>
            </a:ln>
          </c:spPr>
          <c:marker>
            <c:symbol val="none"/>
          </c:marker>
          <c:xVal>
            <c:numRef>
              <c:f>'_CB Analysis'!$AB$226:$AC$226</c:f>
              <c:numCache>
                <c:formatCode>General</c:formatCode>
                <c:ptCount val="2"/>
                <c:pt idx="0">
                  <c:v>#N/A</c:v>
                </c:pt>
                <c:pt idx="1">
                  <c:v>#N/A</c:v>
                </c:pt>
              </c:numCache>
            </c:numRef>
          </c:xVal>
          <c:yVal>
            <c:numRef>
              <c:f>'_CB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CDF1-4597-BBA8-46E928671D81}"/>
            </c:ext>
          </c:extLst>
        </c:ser>
        <c:ser>
          <c:idx val="18"/>
          <c:order val="88"/>
          <c:tx>
            <c:strRef>
              <c:f>'_CB Analysis'!$AA$227</c:f>
              <c:strCache>
                <c:ptCount val="1"/>
              </c:strCache>
            </c:strRef>
          </c:tx>
          <c:spPr>
            <a:ln w="12700">
              <a:solidFill>
                <a:srgbClr val="000000"/>
              </a:solidFill>
            </a:ln>
          </c:spPr>
          <c:marker>
            <c:symbol val="none"/>
          </c:marker>
          <c:xVal>
            <c:numRef>
              <c:f>'_CB Analysis'!$AB$227:$AC$227</c:f>
              <c:numCache>
                <c:formatCode>General</c:formatCode>
                <c:ptCount val="2"/>
                <c:pt idx="0">
                  <c:v>#N/A</c:v>
                </c:pt>
                <c:pt idx="1">
                  <c:v>#N/A</c:v>
                </c:pt>
              </c:numCache>
            </c:numRef>
          </c:xVal>
          <c:yVal>
            <c:numRef>
              <c:f>'_CB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CDF1-4597-BBA8-46E928671D81}"/>
            </c:ext>
          </c:extLst>
        </c:ser>
        <c:ser>
          <c:idx val="19"/>
          <c:order val="89"/>
          <c:tx>
            <c:strRef>
              <c:f>'_CB Analysis'!$AA$228</c:f>
              <c:strCache>
                <c:ptCount val="1"/>
              </c:strCache>
            </c:strRef>
          </c:tx>
          <c:spPr>
            <a:ln w="12700">
              <a:solidFill>
                <a:srgbClr val="000000"/>
              </a:solidFill>
            </a:ln>
          </c:spPr>
          <c:marker>
            <c:symbol val="none"/>
          </c:marker>
          <c:xVal>
            <c:numRef>
              <c:f>'_CB Analysis'!$AB$228:$AC$228</c:f>
              <c:numCache>
                <c:formatCode>General</c:formatCode>
                <c:ptCount val="2"/>
                <c:pt idx="0">
                  <c:v>#N/A</c:v>
                </c:pt>
                <c:pt idx="1">
                  <c:v>#N/A</c:v>
                </c:pt>
              </c:numCache>
            </c:numRef>
          </c:xVal>
          <c:yVal>
            <c:numRef>
              <c:f>'_CB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CDF1-4597-BBA8-46E928671D81}"/>
            </c:ext>
          </c:extLst>
        </c:ser>
        <c:ser>
          <c:idx val="20"/>
          <c:order val="90"/>
          <c:tx>
            <c:strRef>
              <c:f>'_CB Analysis'!$AA$229</c:f>
              <c:strCache>
                <c:ptCount val="1"/>
              </c:strCache>
            </c:strRef>
          </c:tx>
          <c:spPr>
            <a:ln w="12700">
              <a:solidFill>
                <a:srgbClr val="000000"/>
              </a:solidFill>
            </a:ln>
          </c:spPr>
          <c:marker>
            <c:symbol val="none"/>
          </c:marker>
          <c:xVal>
            <c:numRef>
              <c:f>'_CB Analysis'!$AB$229:$AC$229</c:f>
              <c:numCache>
                <c:formatCode>General</c:formatCode>
                <c:ptCount val="2"/>
                <c:pt idx="0">
                  <c:v>#N/A</c:v>
                </c:pt>
                <c:pt idx="1">
                  <c:v>#N/A</c:v>
                </c:pt>
              </c:numCache>
            </c:numRef>
          </c:xVal>
          <c:yVal>
            <c:numRef>
              <c:f>'_CB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CDF1-4597-BBA8-46E928671D81}"/>
            </c:ext>
          </c:extLst>
        </c:ser>
        <c:ser>
          <c:idx val="21"/>
          <c:order val="91"/>
          <c:tx>
            <c:strRef>
              <c:f>'_CB Analysis'!$AA$230</c:f>
              <c:strCache>
                <c:ptCount val="1"/>
              </c:strCache>
            </c:strRef>
          </c:tx>
          <c:spPr>
            <a:ln w="12700">
              <a:solidFill>
                <a:srgbClr val="000000"/>
              </a:solidFill>
            </a:ln>
          </c:spPr>
          <c:marker>
            <c:symbol val="none"/>
          </c:marker>
          <c:xVal>
            <c:numRef>
              <c:f>'_CB Analysis'!$AB$230:$AC$230</c:f>
              <c:numCache>
                <c:formatCode>General</c:formatCode>
                <c:ptCount val="2"/>
                <c:pt idx="0">
                  <c:v>#N/A</c:v>
                </c:pt>
                <c:pt idx="1">
                  <c:v>#N/A</c:v>
                </c:pt>
              </c:numCache>
            </c:numRef>
          </c:xVal>
          <c:yVal>
            <c:numRef>
              <c:f>'_CB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CDF1-4597-BBA8-46E928671D81}"/>
            </c:ext>
          </c:extLst>
        </c:ser>
        <c:ser>
          <c:idx val="22"/>
          <c:order val="92"/>
          <c:tx>
            <c:strRef>
              <c:f>'_CB Analysis'!$AA$231</c:f>
              <c:strCache>
                <c:ptCount val="1"/>
              </c:strCache>
            </c:strRef>
          </c:tx>
          <c:spPr>
            <a:ln w="12700">
              <a:solidFill>
                <a:srgbClr val="000000"/>
              </a:solidFill>
            </a:ln>
          </c:spPr>
          <c:marker>
            <c:symbol val="none"/>
          </c:marker>
          <c:xVal>
            <c:numRef>
              <c:f>'_CB Analysis'!$AB$231:$AC$231</c:f>
              <c:numCache>
                <c:formatCode>General</c:formatCode>
                <c:ptCount val="2"/>
                <c:pt idx="0">
                  <c:v>#N/A</c:v>
                </c:pt>
                <c:pt idx="1">
                  <c:v>#N/A</c:v>
                </c:pt>
              </c:numCache>
            </c:numRef>
          </c:xVal>
          <c:yVal>
            <c:numRef>
              <c:f>'_CB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CDF1-4597-BBA8-46E928671D81}"/>
            </c:ext>
          </c:extLst>
        </c:ser>
        <c:ser>
          <c:idx val="23"/>
          <c:order val="93"/>
          <c:tx>
            <c:strRef>
              <c:f>'_CB Analysis'!$AA$232</c:f>
              <c:strCache>
                <c:ptCount val="1"/>
              </c:strCache>
            </c:strRef>
          </c:tx>
          <c:spPr>
            <a:ln w="12700">
              <a:solidFill>
                <a:srgbClr val="000000"/>
              </a:solidFill>
            </a:ln>
          </c:spPr>
          <c:marker>
            <c:symbol val="none"/>
          </c:marker>
          <c:xVal>
            <c:numRef>
              <c:f>'_CB Analysis'!$AB$232:$AC$232</c:f>
              <c:numCache>
                <c:formatCode>General</c:formatCode>
                <c:ptCount val="2"/>
                <c:pt idx="0">
                  <c:v>#N/A</c:v>
                </c:pt>
                <c:pt idx="1">
                  <c:v>#N/A</c:v>
                </c:pt>
              </c:numCache>
            </c:numRef>
          </c:xVal>
          <c:yVal>
            <c:numRef>
              <c:f>'_CB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CDF1-4597-BBA8-46E928671D81}"/>
            </c:ext>
          </c:extLst>
        </c:ser>
        <c:ser>
          <c:idx val="24"/>
          <c:order val="94"/>
          <c:tx>
            <c:strRef>
              <c:f>'_CB Analysis'!$AA$233</c:f>
              <c:strCache>
                <c:ptCount val="1"/>
              </c:strCache>
            </c:strRef>
          </c:tx>
          <c:spPr>
            <a:ln w="12700">
              <a:solidFill>
                <a:srgbClr val="000000"/>
              </a:solidFill>
            </a:ln>
          </c:spPr>
          <c:marker>
            <c:symbol val="none"/>
          </c:marker>
          <c:xVal>
            <c:numRef>
              <c:f>'_CB Analysis'!$AB$233:$AC$233</c:f>
              <c:numCache>
                <c:formatCode>General</c:formatCode>
                <c:ptCount val="2"/>
                <c:pt idx="0">
                  <c:v>#N/A</c:v>
                </c:pt>
                <c:pt idx="1">
                  <c:v>#N/A</c:v>
                </c:pt>
              </c:numCache>
            </c:numRef>
          </c:xVal>
          <c:yVal>
            <c:numRef>
              <c:f>'_CB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CDF1-4597-BBA8-46E928671D81}"/>
            </c:ext>
          </c:extLst>
        </c:ser>
        <c:ser>
          <c:idx val="25"/>
          <c:order val="95"/>
          <c:tx>
            <c:strRef>
              <c:f>'_CB Analysis'!$AA$234</c:f>
              <c:strCache>
                <c:ptCount val="1"/>
              </c:strCache>
            </c:strRef>
          </c:tx>
          <c:spPr>
            <a:ln w="12700">
              <a:solidFill>
                <a:srgbClr val="000000"/>
              </a:solidFill>
            </a:ln>
          </c:spPr>
          <c:marker>
            <c:symbol val="none"/>
          </c:marker>
          <c:xVal>
            <c:numRef>
              <c:f>'_CB Analysis'!$AB$234:$AC$234</c:f>
              <c:numCache>
                <c:formatCode>General</c:formatCode>
                <c:ptCount val="2"/>
                <c:pt idx="0">
                  <c:v>#N/A</c:v>
                </c:pt>
                <c:pt idx="1">
                  <c:v>#N/A</c:v>
                </c:pt>
              </c:numCache>
            </c:numRef>
          </c:xVal>
          <c:yVal>
            <c:numRef>
              <c:f>'_CB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CDF1-4597-BBA8-46E928671D81}"/>
            </c:ext>
          </c:extLst>
        </c:ser>
        <c:ser>
          <c:idx val="26"/>
          <c:order val="96"/>
          <c:tx>
            <c:strRef>
              <c:f>'_CB Analysis'!$AA$235</c:f>
              <c:strCache>
                <c:ptCount val="1"/>
              </c:strCache>
            </c:strRef>
          </c:tx>
          <c:spPr>
            <a:ln w="12700">
              <a:solidFill>
                <a:srgbClr val="000000"/>
              </a:solidFill>
            </a:ln>
          </c:spPr>
          <c:marker>
            <c:symbol val="none"/>
          </c:marker>
          <c:xVal>
            <c:numRef>
              <c:f>'_CB Analysis'!$AB$235:$AC$235</c:f>
              <c:numCache>
                <c:formatCode>General</c:formatCode>
                <c:ptCount val="2"/>
                <c:pt idx="0">
                  <c:v>#N/A</c:v>
                </c:pt>
                <c:pt idx="1">
                  <c:v>#N/A</c:v>
                </c:pt>
              </c:numCache>
            </c:numRef>
          </c:xVal>
          <c:yVal>
            <c:numRef>
              <c:f>'_CB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CDF1-4597-BBA8-46E928671D81}"/>
            </c:ext>
          </c:extLst>
        </c:ser>
        <c:ser>
          <c:idx val="27"/>
          <c:order val="97"/>
          <c:tx>
            <c:strRef>
              <c:f>'_CB Analysis'!$AA$236</c:f>
              <c:strCache>
                <c:ptCount val="1"/>
              </c:strCache>
            </c:strRef>
          </c:tx>
          <c:spPr>
            <a:ln w="12700">
              <a:solidFill>
                <a:srgbClr val="000000"/>
              </a:solidFill>
            </a:ln>
          </c:spPr>
          <c:marker>
            <c:symbol val="none"/>
          </c:marker>
          <c:xVal>
            <c:numRef>
              <c:f>'_CB Analysis'!$AB$236:$AC$236</c:f>
              <c:numCache>
                <c:formatCode>General</c:formatCode>
                <c:ptCount val="2"/>
                <c:pt idx="0">
                  <c:v>#N/A</c:v>
                </c:pt>
                <c:pt idx="1">
                  <c:v>#N/A</c:v>
                </c:pt>
              </c:numCache>
            </c:numRef>
          </c:xVal>
          <c:yVal>
            <c:numRef>
              <c:f>'_CB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CDF1-4597-BBA8-46E928671D81}"/>
            </c:ext>
          </c:extLst>
        </c:ser>
        <c:ser>
          <c:idx val="28"/>
          <c:order val="98"/>
          <c:tx>
            <c:strRef>
              <c:f>'_CB Analysis'!$AA$237</c:f>
              <c:strCache>
                <c:ptCount val="1"/>
              </c:strCache>
            </c:strRef>
          </c:tx>
          <c:spPr>
            <a:ln w="12700">
              <a:solidFill>
                <a:srgbClr val="000000"/>
              </a:solidFill>
            </a:ln>
          </c:spPr>
          <c:marker>
            <c:symbol val="none"/>
          </c:marker>
          <c:xVal>
            <c:numRef>
              <c:f>'_CB Analysis'!$AB$237:$AC$237</c:f>
              <c:numCache>
                <c:formatCode>General</c:formatCode>
                <c:ptCount val="2"/>
                <c:pt idx="0">
                  <c:v>#N/A</c:v>
                </c:pt>
                <c:pt idx="1">
                  <c:v>#N/A</c:v>
                </c:pt>
              </c:numCache>
            </c:numRef>
          </c:xVal>
          <c:yVal>
            <c:numRef>
              <c:f>'_CB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CDF1-4597-BBA8-46E928671D81}"/>
            </c:ext>
          </c:extLst>
        </c:ser>
        <c:ser>
          <c:idx val="29"/>
          <c:order val="99"/>
          <c:tx>
            <c:strRef>
              <c:f>'_CB Analysis'!$AA$238</c:f>
              <c:strCache>
                <c:ptCount val="1"/>
              </c:strCache>
            </c:strRef>
          </c:tx>
          <c:spPr>
            <a:ln w="12700">
              <a:solidFill>
                <a:srgbClr val="000000"/>
              </a:solidFill>
            </a:ln>
          </c:spPr>
          <c:marker>
            <c:symbol val="none"/>
          </c:marker>
          <c:xVal>
            <c:numRef>
              <c:f>'_CB Analysis'!$AB$238:$AC$238</c:f>
              <c:numCache>
                <c:formatCode>General</c:formatCode>
                <c:ptCount val="2"/>
                <c:pt idx="0">
                  <c:v>#N/A</c:v>
                </c:pt>
                <c:pt idx="1">
                  <c:v>#N/A</c:v>
                </c:pt>
              </c:numCache>
            </c:numRef>
          </c:xVal>
          <c:yVal>
            <c:numRef>
              <c:f>'_CB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CDF1-4597-BBA8-46E928671D81}"/>
            </c:ext>
          </c:extLst>
        </c:ser>
        <c:ser>
          <c:idx val="30"/>
          <c:order val="100"/>
          <c:tx>
            <c:strRef>
              <c:f>'_CB Analysis'!$AA$239</c:f>
              <c:strCache>
                <c:ptCount val="1"/>
              </c:strCache>
            </c:strRef>
          </c:tx>
          <c:spPr>
            <a:ln w="12700">
              <a:solidFill>
                <a:srgbClr val="000000"/>
              </a:solidFill>
            </a:ln>
          </c:spPr>
          <c:marker>
            <c:symbol val="none"/>
          </c:marker>
          <c:xVal>
            <c:numRef>
              <c:f>'_CB Analysis'!$AB$239:$AC$239</c:f>
              <c:numCache>
                <c:formatCode>General</c:formatCode>
                <c:ptCount val="2"/>
                <c:pt idx="0">
                  <c:v>#N/A</c:v>
                </c:pt>
                <c:pt idx="1">
                  <c:v>#N/A</c:v>
                </c:pt>
              </c:numCache>
            </c:numRef>
          </c:xVal>
          <c:yVal>
            <c:numRef>
              <c:f>'_CB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CDF1-4597-BBA8-46E928671D81}"/>
            </c:ext>
          </c:extLst>
        </c:ser>
        <c:ser>
          <c:idx val="31"/>
          <c:order val="101"/>
          <c:tx>
            <c:strRef>
              <c:f>'_CB Analysis'!$AA$240</c:f>
              <c:strCache>
                <c:ptCount val="1"/>
              </c:strCache>
            </c:strRef>
          </c:tx>
          <c:spPr>
            <a:ln w="12700">
              <a:solidFill>
                <a:srgbClr val="000000"/>
              </a:solidFill>
            </a:ln>
          </c:spPr>
          <c:marker>
            <c:symbol val="none"/>
          </c:marker>
          <c:xVal>
            <c:numRef>
              <c:f>'_CB Analysis'!$AB$240:$AC$240</c:f>
              <c:numCache>
                <c:formatCode>General</c:formatCode>
                <c:ptCount val="2"/>
                <c:pt idx="0">
                  <c:v>#N/A</c:v>
                </c:pt>
                <c:pt idx="1">
                  <c:v>#N/A</c:v>
                </c:pt>
              </c:numCache>
            </c:numRef>
          </c:xVal>
          <c:yVal>
            <c:numRef>
              <c:f>'_CB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CDF1-4597-BBA8-46E928671D81}"/>
            </c:ext>
          </c:extLst>
        </c:ser>
        <c:ser>
          <c:idx val="32"/>
          <c:order val="102"/>
          <c:tx>
            <c:strRef>
              <c:f>'_CB Analysis'!$AA$241</c:f>
              <c:strCache>
                <c:ptCount val="1"/>
              </c:strCache>
            </c:strRef>
          </c:tx>
          <c:spPr>
            <a:ln w="12700">
              <a:solidFill>
                <a:srgbClr val="000000"/>
              </a:solidFill>
            </a:ln>
          </c:spPr>
          <c:marker>
            <c:symbol val="none"/>
          </c:marker>
          <c:xVal>
            <c:numRef>
              <c:f>'_CB Analysis'!$AB$241:$AC$241</c:f>
              <c:numCache>
                <c:formatCode>General</c:formatCode>
                <c:ptCount val="2"/>
                <c:pt idx="0">
                  <c:v>#N/A</c:v>
                </c:pt>
                <c:pt idx="1">
                  <c:v>#N/A</c:v>
                </c:pt>
              </c:numCache>
            </c:numRef>
          </c:xVal>
          <c:yVal>
            <c:numRef>
              <c:f>'_CB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CDF1-4597-BBA8-46E928671D81}"/>
            </c:ext>
          </c:extLst>
        </c:ser>
        <c:ser>
          <c:idx val="33"/>
          <c:order val="103"/>
          <c:tx>
            <c:strRef>
              <c:f>'_CB Analysis'!$AA$242</c:f>
              <c:strCache>
                <c:ptCount val="1"/>
              </c:strCache>
            </c:strRef>
          </c:tx>
          <c:spPr>
            <a:ln w="12700">
              <a:solidFill>
                <a:srgbClr val="000000"/>
              </a:solidFill>
            </a:ln>
          </c:spPr>
          <c:marker>
            <c:symbol val="none"/>
          </c:marker>
          <c:xVal>
            <c:numRef>
              <c:f>'_CB Analysis'!$AB$242:$AC$242</c:f>
              <c:numCache>
                <c:formatCode>General</c:formatCode>
                <c:ptCount val="2"/>
                <c:pt idx="0">
                  <c:v>#N/A</c:v>
                </c:pt>
                <c:pt idx="1">
                  <c:v>#N/A</c:v>
                </c:pt>
              </c:numCache>
            </c:numRef>
          </c:xVal>
          <c:yVal>
            <c:numRef>
              <c:f>'_CB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CDF1-4597-BBA8-46E928671D81}"/>
            </c:ext>
          </c:extLst>
        </c:ser>
        <c:ser>
          <c:idx val="34"/>
          <c:order val="104"/>
          <c:tx>
            <c:strRef>
              <c:f>'_CB Analysis'!$AA$243</c:f>
              <c:strCache>
                <c:ptCount val="1"/>
              </c:strCache>
            </c:strRef>
          </c:tx>
          <c:spPr>
            <a:ln w="12700">
              <a:solidFill>
                <a:srgbClr val="000000"/>
              </a:solidFill>
            </a:ln>
          </c:spPr>
          <c:marker>
            <c:symbol val="none"/>
          </c:marker>
          <c:xVal>
            <c:numRef>
              <c:f>'_CB Analysis'!$AB$243:$AC$243</c:f>
              <c:numCache>
                <c:formatCode>General</c:formatCode>
                <c:ptCount val="2"/>
                <c:pt idx="0">
                  <c:v>#N/A</c:v>
                </c:pt>
                <c:pt idx="1">
                  <c:v>#N/A</c:v>
                </c:pt>
              </c:numCache>
            </c:numRef>
          </c:xVal>
          <c:yVal>
            <c:numRef>
              <c:f>'_CB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CDF1-4597-BBA8-46E928671D81}"/>
            </c:ext>
          </c:extLst>
        </c:ser>
        <c:ser>
          <c:idx val="35"/>
          <c:order val="105"/>
          <c:tx>
            <c:strRef>
              <c:f>'_CB Analysis'!$AA$244</c:f>
              <c:strCache>
                <c:ptCount val="1"/>
              </c:strCache>
            </c:strRef>
          </c:tx>
          <c:spPr>
            <a:ln w="12700">
              <a:solidFill>
                <a:srgbClr val="000000"/>
              </a:solidFill>
            </a:ln>
          </c:spPr>
          <c:marker>
            <c:symbol val="none"/>
          </c:marker>
          <c:xVal>
            <c:numRef>
              <c:f>'_CB Analysis'!$AB$244:$AC$244</c:f>
              <c:numCache>
                <c:formatCode>General</c:formatCode>
                <c:ptCount val="2"/>
                <c:pt idx="0">
                  <c:v>#N/A</c:v>
                </c:pt>
                <c:pt idx="1">
                  <c:v>#N/A</c:v>
                </c:pt>
              </c:numCache>
            </c:numRef>
          </c:xVal>
          <c:yVal>
            <c:numRef>
              <c:f>'_CB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CDF1-4597-BBA8-46E928671D81}"/>
            </c:ext>
          </c:extLst>
        </c:ser>
        <c:ser>
          <c:idx val="36"/>
          <c:order val="106"/>
          <c:tx>
            <c:strRef>
              <c:f>'_CB Analysis'!$AA$245</c:f>
              <c:strCache>
                <c:ptCount val="1"/>
              </c:strCache>
            </c:strRef>
          </c:tx>
          <c:spPr>
            <a:ln w="12700">
              <a:solidFill>
                <a:srgbClr val="000000"/>
              </a:solidFill>
            </a:ln>
          </c:spPr>
          <c:marker>
            <c:symbol val="none"/>
          </c:marker>
          <c:xVal>
            <c:numRef>
              <c:f>'_CB Analysis'!$AB$245:$AC$245</c:f>
              <c:numCache>
                <c:formatCode>General</c:formatCode>
                <c:ptCount val="2"/>
                <c:pt idx="0">
                  <c:v>#N/A</c:v>
                </c:pt>
                <c:pt idx="1">
                  <c:v>#N/A</c:v>
                </c:pt>
              </c:numCache>
            </c:numRef>
          </c:xVal>
          <c:yVal>
            <c:numRef>
              <c:f>'_CB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CDF1-4597-BBA8-46E928671D81}"/>
            </c:ext>
          </c:extLst>
        </c:ser>
        <c:ser>
          <c:idx val="37"/>
          <c:order val="107"/>
          <c:tx>
            <c:strRef>
              <c:f>'_CB Analysis'!$AA$246</c:f>
              <c:strCache>
                <c:ptCount val="1"/>
              </c:strCache>
            </c:strRef>
          </c:tx>
          <c:spPr>
            <a:ln w="12700">
              <a:solidFill>
                <a:srgbClr val="000000"/>
              </a:solidFill>
            </a:ln>
          </c:spPr>
          <c:marker>
            <c:symbol val="none"/>
          </c:marker>
          <c:xVal>
            <c:numRef>
              <c:f>'_CB Analysis'!$AB$246:$AC$246</c:f>
              <c:numCache>
                <c:formatCode>General</c:formatCode>
                <c:ptCount val="2"/>
                <c:pt idx="0">
                  <c:v>#N/A</c:v>
                </c:pt>
                <c:pt idx="1">
                  <c:v>#N/A</c:v>
                </c:pt>
              </c:numCache>
            </c:numRef>
          </c:xVal>
          <c:yVal>
            <c:numRef>
              <c:f>'_CB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CDF1-4597-BBA8-46E928671D81}"/>
            </c:ext>
          </c:extLst>
        </c:ser>
        <c:ser>
          <c:idx val="38"/>
          <c:order val="108"/>
          <c:tx>
            <c:strRef>
              <c:f>'_CB Analysis'!$AA$247</c:f>
              <c:strCache>
                <c:ptCount val="1"/>
              </c:strCache>
            </c:strRef>
          </c:tx>
          <c:spPr>
            <a:ln w="12700">
              <a:solidFill>
                <a:srgbClr val="000000"/>
              </a:solidFill>
            </a:ln>
          </c:spPr>
          <c:marker>
            <c:symbol val="none"/>
          </c:marker>
          <c:xVal>
            <c:numRef>
              <c:f>'_CB Analysis'!$AB$247:$AC$247</c:f>
              <c:numCache>
                <c:formatCode>General</c:formatCode>
                <c:ptCount val="2"/>
                <c:pt idx="0">
                  <c:v>#N/A</c:v>
                </c:pt>
                <c:pt idx="1">
                  <c:v>#N/A</c:v>
                </c:pt>
              </c:numCache>
            </c:numRef>
          </c:xVal>
          <c:yVal>
            <c:numRef>
              <c:f>'_CB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CDF1-4597-BBA8-46E928671D81}"/>
            </c:ext>
          </c:extLst>
        </c:ser>
        <c:ser>
          <c:idx val="39"/>
          <c:order val="109"/>
          <c:tx>
            <c:strRef>
              <c:f>'_CB Analysis'!$AA$248</c:f>
              <c:strCache>
                <c:ptCount val="1"/>
              </c:strCache>
            </c:strRef>
          </c:tx>
          <c:spPr>
            <a:ln w="12700">
              <a:solidFill>
                <a:srgbClr val="000000"/>
              </a:solidFill>
            </a:ln>
          </c:spPr>
          <c:marker>
            <c:symbol val="none"/>
          </c:marker>
          <c:xVal>
            <c:numRef>
              <c:f>'_CB Analysis'!$AB$248:$AC$248</c:f>
              <c:numCache>
                <c:formatCode>General</c:formatCode>
                <c:ptCount val="2"/>
                <c:pt idx="0">
                  <c:v>#N/A</c:v>
                </c:pt>
                <c:pt idx="1">
                  <c:v>#N/A</c:v>
                </c:pt>
              </c:numCache>
            </c:numRef>
          </c:xVal>
          <c:yVal>
            <c:numRef>
              <c:f>'_CB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CDF1-4597-BBA8-46E928671D81}"/>
            </c:ext>
          </c:extLst>
        </c:ser>
        <c:ser>
          <c:idx val="40"/>
          <c:order val="110"/>
          <c:tx>
            <c:strRef>
              <c:f>'_CB Analysis'!$AA$249</c:f>
              <c:strCache>
                <c:ptCount val="1"/>
              </c:strCache>
            </c:strRef>
          </c:tx>
          <c:spPr>
            <a:ln w="12700">
              <a:solidFill>
                <a:srgbClr val="000000"/>
              </a:solidFill>
            </a:ln>
          </c:spPr>
          <c:marker>
            <c:symbol val="none"/>
          </c:marker>
          <c:xVal>
            <c:numRef>
              <c:f>'_CB Analysis'!$AB$249:$AC$249</c:f>
              <c:numCache>
                <c:formatCode>General</c:formatCode>
                <c:ptCount val="2"/>
                <c:pt idx="0">
                  <c:v>#N/A</c:v>
                </c:pt>
                <c:pt idx="1">
                  <c:v>#N/A</c:v>
                </c:pt>
              </c:numCache>
            </c:numRef>
          </c:xVal>
          <c:yVal>
            <c:numRef>
              <c:f>'_CB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CDF1-4597-BBA8-46E928671D81}"/>
            </c:ext>
          </c:extLst>
        </c:ser>
        <c:ser>
          <c:idx val="41"/>
          <c:order val="111"/>
          <c:tx>
            <c:strRef>
              <c:f>'_CB Analysis'!$AA$250</c:f>
              <c:strCache>
                <c:ptCount val="1"/>
              </c:strCache>
            </c:strRef>
          </c:tx>
          <c:spPr>
            <a:ln w="12700">
              <a:solidFill>
                <a:srgbClr val="000000"/>
              </a:solidFill>
            </a:ln>
          </c:spPr>
          <c:marker>
            <c:symbol val="none"/>
          </c:marker>
          <c:xVal>
            <c:numRef>
              <c:f>'_CB Analysis'!$AB$250:$AC$250</c:f>
              <c:numCache>
                <c:formatCode>General</c:formatCode>
                <c:ptCount val="2"/>
                <c:pt idx="0">
                  <c:v>#N/A</c:v>
                </c:pt>
                <c:pt idx="1">
                  <c:v>#N/A</c:v>
                </c:pt>
              </c:numCache>
            </c:numRef>
          </c:xVal>
          <c:yVal>
            <c:numRef>
              <c:f>'_CB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CDF1-4597-BBA8-46E928671D81}"/>
            </c:ext>
          </c:extLst>
        </c:ser>
        <c:ser>
          <c:idx val="42"/>
          <c:order val="112"/>
          <c:tx>
            <c:strRef>
              <c:f>'_CB Analysis'!$AA$251</c:f>
              <c:strCache>
                <c:ptCount val="1"/>
              </c:strCache>
            </c:strRef>
          </c:tx>
          <c:spPr>
            <a:ln w="12700">
              <a:solidFill>
                <a:srgbClr val="000000"/>
              </a:solidFill>
            </a:ln>
          </c:spPr>
          <c:marker>
            <c:symbol val="none"/>
          </c:marker>
          <c:xVal>
            <c:numRef>
              <c:f>'_CB Analysis'!$AB$251:$AC$251</c:f>
              <c:numCache>
                <c:formatCode>General</c:formatCode>
                <c:ptCount val="2"/>
                <c:pt idx="0">
                  <c:v>#N/A</c:v>
                </c:pt>
                <c:pt idx="1">
                  <c:v>#N/A</c:v>
                </c:pt>
              </c:numCache>
            </c:numRef>
          </c:xVal>
          <c:yVal>
            <c:numRef>
              <c:f>'_CB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CDF1-4597-BBA8-46E928671D81}"/>
            </c:ext>
          </c:extLst>
        </c:ser>
        <c:ser>
          <c:idx val="43"/>
          <c:order val="113"/>
          <c:tx>
            <c:strRef>
              <c:f>'_CB Analysis'!$AA$252</c:f>
              <c:strCache>
                <c:ptCount val="1"/>
              </c:strCache>
            </c:strRef>
          </c:tx>
          <c:spPr>
            <a:ln w="12700">
              <a:solidFill>
                <a:srgbClr val="000000"/>
              </a:solidFill>
            </a:ln>
          </c:spPr>
          <c:marker>
            <c:symbol val="none"/>
          </c:marker>
          <c:xVal>
            <c:numRef>
              <c:f>'_CB Analysis'!$AB$252:$AC$252</c:f>
              <c:numCache>
                <c:formatCode>General</c:formatCode>
                <c:ptCount val="2"/>
                <c:pt idx="0">
                  <c:v>#N/A</c:v>
                </c:pt>
                <c:pt idx="1">
                  <c:v>#N/A</c:v>
                </c:pt>
              </c:numCache>
            </c:numRef>
          </c:xVal>
          <c:yVal>
            <c:numRef>
              <c:f>'_CB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CDF1-4597-BBA8-46E928671D81}"/>
            </c:ext>
          </c:extLst>
        </c:ser>
        <c:ser>
          <c:idx val="44"/>
          <c:order val="114"/>
          <c:tx>
            <c:strRef>
              <c:f>'_CB Analysis'!$AA$253</c:f>
              <c:strCache>
                <c:ptCount val="1"/>
              </c:strCache>
            </c:strRef>
          </c:tx>
          <c:spPr>
            <a:ln w="12700">
              <a:solidFill>
                <a:srgbClr val="000000"/>
              </a:solidFill>
            </a:ln>
          </c:spPr>
          <c:marker>
            <c:symbol val="none"/>
          </c:marker>
          <c:xVal>
            <c:numRef>
              <c:f>'_CB Analysis'!$AB$253:$AC$253</c:f>
              <c:numCache>
                <c:formatCode>General</c:formatCode>
                <c:ptCount val="2"/>
                <c:pt idx="0">
                  <c:v>#N/A</c:v>
                </c:pt>
                <c:pt idx="1">
                  <c:v>#N/A</c:v>
                </c:pt>
              </c:numCache>
            </c:numRef>
          </c:xVal>
          <c:yVal>
            <c:numRef>
              <c:f>'_CB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CDF1-4597-BBA8-46E928671D81}"/>
            </c:ext>
          </c:extLst>
        </c:ser>
        <c:ser>
          <c:idx val="45"/>
          <c:order val="115"/>
          <c:tx>
            <c:strRef>
              <c:f>'_CB Analysis'!$AA$254</c:f>
              <c:strCache>
                <c:ptCount val="1"/>
              </c:strCache>
            </c:strRef>
          </c:tx>
          <c:spPr>
            <a:ln w="12700">
              <a:solidFill>
                <a:srgbClr val="000000"/>
              </a:solidFill>
            </a:ln>
          </c:spPr>
          <c:marker>
            <c:symbol val="none"/>
          </c:marker>
          <c:xVal>
            <c:numRef>
              <c:f>'_CB Analysis'!$AB$254:$AC$254</c:f>
              <c:numCache>
                <c:formatCode>General</c:formatCode>
                <c:ptCount val="2"/>
                <c:pt idx="0">
                  <c:v>#N/A</c:v>
                </c:pt>
                <c:pt idx="1">
                  <c:v>#N/A</c:v>
                </c:pt>
              </c:numCache>
            </c:numRef>
          </c:xVal>
          <c:yVal>
            <c:numRef>
              <c:f>'_CB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CDF1-4597-BBA8-46E928671D81}"/>
            </c:ext>
          </c:extLst>
        </c:ser>
        <c:ser>
          <c:idx val="46"/>
          <c:order val="116"/>
          <c:tx>
            <c:strRef>
              <c:f>'_CB Analysis'!$AA$255</c:f>
              <c:strCache>
                <c:ptCount val="1"/>
              </c:strCache>
            </c:strRef>
          </c:tx>
          <c:spPr>
            <a:ln w="12700">
              <a:solidFill>
                <a:srgbClr val="000000"/>
              </a:solidFill>
            </a:ln>
          </c:spPr>
          <c:marker>
            <c:symbol val="none"/>
          </c:marker>
          <c:xVal>
            <c:numRef>
              <c:f>'_CB Analysis'!$AB$255:$AC$255</c:f>
              <c:numCache>
                <c:formatCode>General</c:formatCode>
                <c:ptCount val="2"/>
                <c:pt idx="0">
                  <c:v>#N/A</c:v>
                </c:pt>
                <c:pt idx="1">
                  <c:v>#N/A</c:v>
                </c:pt>
              </c:numCache>
            </c:numRef>
          </c:xVal>
          <c:yVal>
            <c:numRef>
              <c:f>'_CB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CDF1-4597-BBA8-46E928671D81}"/>
            </c:ext>
          </c:extLst>
        </c:ser>
        <c:ser>
          <c:idx val="47"/>
          <c:order val="117"/>
          <c:tx>
            <c:strRef>
              <c:f>'_CB Analysis'!$AA$256</c:f>
              <c:strCache>
                <c:ptCount val="1"/>
              </c:strCache>
            </c:strRef>
          </c:tx>
          <c:spPr>
            <a:ln w="12700">
              <a:solidFill>
                <a:srgbClr val="000000"/>
              </a:solidFill>
            </a:ln>
          </c:spPr>
          <c:marker>
            <c:symbol val="none"/>
          </c:marker>
          <c:xVal>
            <c:numRef>
              <c:f>'_CB Analysis'!$AB$256:$AC$256</c:f>
              <c:numCache>
                <c:formatCode>General</c:formatCode>
                <c:ptCount val="2"/>
                <c:pt idx="0">
                  <c:v>#N/A</c:v>
                </c:pt>
                <c:pt idx="1">
                  <c:v>#N/A</c:v>
                </c:pt>
              </c:numCache>
            </c:numRef>
          </c:xVal>
          <c:yVal>
            <c:numRef>
              <c:f>'_CB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CDF1-4597-BBA8-46E928671D81}"/>
            </c:ext>
          </c:extLst>
        </c:ser>
        <c:ser>
          <c:idx val="48"/>
          <c:order val="118"/>
          <c:tx>
            <c:strRef>
              <c:f>'_CB Analysis'!$AA$257</c:f>
              <c:strCache>
                <c:ptCount val="1"/>
              </c:strCache>
            </c:strRef>
          </c:tx>
          <c:spPr>
            <a:ln w="12700">
              <a:solidFill>
                <a:srgbClr val="000000"/>
              </a:solidFill>
            </a:ln>
          </c:spPr>
          <c:marker>
            <c:symbol val="none"/>
          </c:marker>
          <c:xVal>
            <c:numRef>
              <c:f>'_CB Analysis'!$AB$257:$AC$257</c:f>
              <c:numCache>
                <c:formatCode>General</c:formatCode>
                <c:ptCount val="2"/>
                <c:pt idx="0">
                  <c:v>#N/A</c:v>
                </c:pt>
                <c:pt idx="1">
                  <c:v>#N/A</c:v>
                </c:pt>
              </c:numCache>
            </c:numRef>
          </c:xVal>
          <c:yVal>
            <c:numRef>
              <c:f>'_CB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CDF1-4597-BBA8-46E928671D81}"/>
            </c:ext>
          </c:extLst>
        </c:ser>
        <c:ser>
          <c:idx val="49"/>
          <c:order val="119"/>
          <c:tx>
            <c:strRef>
              <c:f>'_CB Analysis'!$AA$258</c:f>
              <c:strCache>
                <c:ptCount val="1"/>
              </c:strCache>
            </c:strRef>
          </c:tx>
          <c:spPr>
            <a:ln w="12700">
              <a:solidFill>
                <a:srgbClr val="000000"/>
              </a:solidFill>
            </a:ln>
          </c:spPr>
          <c:marker>
            <c:symbol val="none"/>
          </c:marker>
          <c:xVal>
            <c:numRef>
              <c:f>'_CB Analysis'!$AB$258:$AC$258</c:f>
              <c:numCache>
                <c:formatCode>General</c:formatCode>
                <c:ptCount val="2"/>
                <c:pt idx="0">
                  <c:v>#N/A</c:v>
                </c:pt>
                <c:pt idx="1">
                  <c:v>#N/A</c:v>
                </c:pt>
              </c:numCache>
            </c:numRef>
          </c:xVal>
          <c:yVal>
            <c:numRef>
              <c:f>'_CB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CDF1-4597-BBA8-46E928671D81}"/>
            </c:ext>
          </c:extLst>
        </c:ser>
        <c:ser>
          <c:idx val="50"/>
          <c:order val="120"/>
          <c:tx>
            <c:strRef>
              <c:f>'_CB Analysis'!$AA$259</c:f>
              <c:strCache>
                <c:ptCount val="1"/>
              </c:strCache>
            </c:strRef>
          </c:tx>
          <c:spPr>
            <a:ln w="12700">
              <a:solidFill>
                <a:srgbClr val="000000"/>
              </a:solidFill>
            </a:ln>
          </c:spPr>
          <c:marker>
            <c:symbol val="none"/>
          </c:marker>
          <c:xVal>
            <c:numRef>
              <c:f>'_CB Analysis'!$AB$259:$AC$259</c:f>
              <c:numCache>
                <c:formatCode>General</c:formatCode>
                <c:ptCount val="2"/>
                <c:pt idx="0">
                  <c:v>#N/A</c:v>
                </c:pt>
                <c:pt idx="1">
                  <c:v>#N/A</c:v>
                </c:pt>
              </c:numCache>
            </c:numRef>
          </c:xVal>
          <c:yVal>
            <c:numRef>
              <c:f>'_CB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CDF1-4597-BBA8-46E928671D81}"/>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15</xdr:col>
      <xdr:colOff>1249680</xdr:colOff>
      <xdr:row>1</xdr:row>
      <xdr:rowOff>294640</xdr:rowOff>
    </xdr:from>
    <xdr:to>
      <xdr:col>20</xdr:col>
      <xdr:colOff>365760</xdr:colOff>
      <xdr:row>3</xdr:row>
      <xdr:rowOff>254000</xdr:rowOff>
    </xdr:to>
    <xdr:sp macro="Check99" textlink="">
      <xdr:nvSpPr>
        <xdr:cNvPr id="2" name="Check99_Button">
          <a:extLst>
            <a:ext uri="{FF2B5EF4-FFF2-40B4-BE49-F238E27FC236}">
              <a16:creationId xmlns:a16="http://schemas.microsoft.com/office/drawing/2014/main" id="{DAFA8584-D2F8-4C4E-BE91-5750257DDCCE}"/>
            </a:ext>
          </a:extLst>
        </xdr:cNvPr>
        <xdr:cNvSpPr/>
      </xdr:nvSpPr>
      <xdr:spPr>
        <a:xfrm>
          <a:off x="17975580" y="655320"/>
          <a:ext cx="3566160" cy="5791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7</xdr:row>
      <xdr:rowOff>535940</xdr:rowOff>
    </xdr:from>
    <xdr:to>
      <xdr:col>29</xdr:col>
      <xdr:colOff>739140</xdr:colOff>
      <xdr:row>8</xdr:row>
      <xdr:rowOff>307340</xdr:rowOff>
    </xdr:to>
    <xdr:sp macro="" textlink="">
      <xdr:nvSpPr>
        <xdr:cNvPr id="19" name="sum98_1">
          <a:extLst>
            <a:ext uri="{FF2B5EF4-FFF2-40B4-BE49-F238E27FC236}">
              <a16:creationId xmlns:a16="http://schemas.microsoft.com/office/drawing/2014/main" id="{E14ECB88-A90B-A795-AB61-E8EDF0A2C5B3}"/>
            </a:ext>
          </a:extLst>
        </xdr:cNvPr>
        <xdr:cNvSpPr txBox="1"/>
      </xdr:nvSpPr>
      <xdr:spPr>
        <a:xfrm>
          <a:off x="18597880" y="2750820"/>
          <a:ext cx="114122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8</xdr:row>
      <xdr:rowOff>307340</xdr:rowOff>
    </xdr:from>
    <xdr:to>
      <xdr:col>29</xdr:col>
      <xdr:colOff>739140</xdr:colOff>
      <xdr:row>10</xdr:row>
      <xdr:rowOff>58420</xdr:rowOff>
    </xdr:to>
    <xdr:sp macro="" textlink="">
      <xdr:nvSpPr>
        <xdr:cNvPr id="20" name="sum98_2">
          <a:extLst>
            <a:ext uri="{FF2B5EF4-FFF2-40B4-BE49-F238E27FC236}">
              <a16:creationId xmlns:a16="http://schemas.microsoft.com/office/drawing/2014/main" id="{629B664E-653D-302D-614A-CCCB77B37C33}"/>
            </a:ext>
          </a:extLst>
        </xdr:cNvPr>
        <xdr:cNvSpPr txBox="1"/>
      </xdr:nvSpPr>
      <xdr:spPr>
        <a:xfrm>
          <a:off x="18597880" y="3081020"/>
          <a:ext cx="114122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17</xdr:col>
      <xdr:colOff>55880</xdr:colOff>
      <xdr:row>10</xdr:row>
      <xdr:rowOff>58420</xdr:rowOff>
    </xdr:from>
    <xdr:to>
      <xdr:col>18</xdr:col>
      <xdr:colOff>531266</xdr:colOff>
      <xdr:row>11</xdr:row>
      <xdr:rowOff>200660</xdr:rowOff>
    </xdr:to>
    <xdr:sp macro="" textlink="">
      <xdr:nvSpPr>
        <xdr:cNvPr id="21" name="sum98_3">
          <a:extLst>
            <a:ext uri="{FF2B5EF4-FFF2-40B4-BE49-F238E27FC236}">
              <a16:creationId xmlns:a16="http://schemas.microsoft.com/office/drawing/2014/main" id="{8F3EBA32-8D47-6BBA-AC46-E74ECB5C7B47}"/>
            </a:ext>
          </a:extLst>
        </xdr:cNvPr>
        <xdr:cNvSpPr txBox="1"/>
      </xdr:nvSpPr>
      <xdr:spPr>
        <a:xfrm>
          <a:off x="18597880" y="3563620"/>
          <a:ext cx="136946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18</xdr:col>
      <xdr:colOff>531267</xdr:colOff>
      <xdr:row>10</xdr:row>
      <xdr:rowOff>58420</xdr:rowOff>
    </xdr:from>
    <xdr:to>
      <xdr:col>19</xdr:col>
      <xdr:colOff>778409</xdr:colOff>
      <xdr:row>11</xdr:row>
      <xdr:rowOff>200660</xdr:rowOff>
    </xdr:to>
    <xdr:sp macro="" textlink="">
      <xdr:nvSpPr>
        <xdr:cNvPr id="22" name="sum98_4">
          <a:extLst>
            <a:ext uri="{FF2B5EF4-FFF2-40B4-BE49-F238E27FC236}">
              <a16:creationId xmlns:a16="http://schemas.microsoft.com/office/drawing/2014/main" id="{7D1A91B4-A076-8A96-A355-77A4EF324CD0}"/>
            </a:ext>
          </a:extLst>
        </xdr:cNvPr>
        <xdr:cNvSpPr txBox="1"/>
      </xdr:nvSpPr>
      <xdr:spPr>
        <a:xfrm>
          <a:off x="19967347" y="3563620"/>
          <a:ext cx="114122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19</xdr:col>
      <xdr:colOff>778409</xdr:colOff>
      <xdr:row>10</xdr:row>
      <xdr:rowOff>58420</xdr:rowOff>
    </xdr:from>
    <xdr:to>
      <xdr:col>20</xdr:col>
      <xdr:colOff>740245</xdr:colOff>
      <xdr:row>11</xdr:row>
      <xdr:rowOff>200660</xdr:rowOff>
    </xdr:to>
    <xdr:sp macro="" textlink="">
      <xdr:nvSpPr>
        <xdr:cNvPr id="23" name="sum98_5">
          <a:extLst>
            <a:ext uri="{FF2B5EF4-FFF2-40B4-BE49-F238E27FC236}">
              <a16:creationId xmlns:a16="http://schemas.microsoft.com/office/drawing/2014/main" id="{8EA1E409-C884-8135-045E-27F489CED049}"/>
            </a:ext>
          </a:extLst>
        </xdr:cNvPr>
        <xdr:cNvSpPr txBox="1"/>
      </xdr:nvSpPr>
      <xdr:spPr>
        <a:xfrm>
          <a:off x="21108569" y="3563620"/>
          <a:ext cx="85591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Span/Depth</a:t>
          </a:r>
          <a:endParaRPr lang="zh-CN" altLang="en-US" sz="1000" b="1">
            <a:solidFill>
              <a:srgbClr val="000000"/>
            </a:solidFill>
            <a:latin typeface="Arial" panose="020B0604020202020204" pitchFamily="34" charset="0"/>
          </a:endParaRPr>
        </a:p>
      </xdr:txBody>
    </xdr:sp>
    <xdr:clientData/>
  </xdr:twoCellAnchor>
  <xdr:twoCellAnchor editAs="absolute">
    <xdr:from>
      <xdr:col>20</xdr:col>
      <xdr:colOff>740246</xdr:colOff>
      <xdr:row>10</xdr:row>
      <xdr:rowOff>58420</xdr:rowOff>
    </xdr:from>
    <xdr:to>
      <xdr:col>21</xdr:col>
      <xdr:colOff>587960</xdr:colOff>
      <xdr:row>11</xdr:row>
      <xdr:rowOff>200660</xdr:rowOff>
    </xdr:to>
    <xdr:sp macro="" textlink="">
      <xdr:nvSpPr>
        <xdr:cNvPr id="24" name="sum98_6">
          <a:extLst>
            <a:ext uri="{FF2B5EF4-FFF2-40B4-BE49-F238E27FC236}">
              <a16:creationId xmlns:a16="http://schemas.microsoft.com/office/drawing/2014/main" id="{EBFCE6AB-CEE9-38DF-5076-985CDD644857}"/>
            </a:ext>
          </a:extLst>
        </xdr:cNvPr>
        <xdr:cNvSpPr txBox="1"/>
      </xdr:nvSpPr>
      <xdr:spPr>
        <a:xfrm>
          <a:off x="21964486" y="3563620"/>
          <a:ext cx="74179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21</xdr:col>
      <xdr:colOff>587959</xdr:colOff>
      <xdr:row>10</xdr:row>
      <xdr:rowOff>58420</xdr:rowOff>
    </xdr:from>
    <xdr:to>
      <xdr:col>23</xdr:col>
      <xdr:colOff>397510</xdr:colOff>
      <xdr:row>11</xdr:row>
      <xdr:rowOff>200660</xdr:rowOff>
    </xdr:to>
    <xdr:sp macro="" textlink="">
      <xdr:nvSpPr>
        <xdr:cNvPr id="25" name="sum98_7">
          <a:extLst>
            <a:ext uri="{FF2B5EF4-FFF2-40B4-BE49-F238E27FC236}">
              <a16:creationId xmlns:a16="http://schemas.microsoft.com/office/drawing/2014/main" id="{4DC0E424-908C-B029-0A69-F64458360F8D}"/>
            </a:ext>
          </a:extLst>
        </xdr:cNvPr>
        <xdr:cNvSpPr txBox="1"/>
      </xdr:nvSpPr>
      <xdr:spPr>
        <a:xfrm>
          <a:off x="22706279" y="3563620"/>
          <a:ext cx="159771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23</xdr:col>
      <xdr:colOff>397509</xdr:colOff>
      <xdr:row>10</xdr:row>
      <xdr:rowOff>58420</xdr:rowOff>
    </xdr:from>
    <xdr:to>
      <xdr:col>26</xdr:col>
      <xdr:colOff>568324</xdr:colOff>
      <xdr:row>11</xdr:row>
      <xdr:rowOff>200660</xdr:rowOff>
    </xdr:to>
    <xdr:sp macro="" textlink="">
      <xdr:nvSpPr>
        <xdr:cNvPr id="26" name="sum98_8">
          <a:extLst>
            <a:ext uri="{FF2B5EF4-FFF2-40B4-BE49-F238E27FC236}">
              <a16:creationId xmlns:a16="http://schemas.microsoft.com/office/drawing/2014/main" id="{B176F448-A4FE-06ED-385C-7F6F57EB8168}"/>
            </a:ext>
          </a:extLst>
        </xdr:cNvPr>
        <xdr:cNvSpPr txBox="1"/>
      </xdr:nvSpPr>
      <xdr:spPr>
        <a:xfrm>
          <a:off x="24303989"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26</xdr:col>
      <xdr:colOff>568326</xdr:colOff>
      <xdr:row>10</xdr:row>
      <xdr:rowOff>58420</xdr:rowOff>
    </xdr:from>
    <xdr:to>
      <xdr:col>29</xdr:col>
      <xdr:colOff>739141</xdr:colOff>
      <xdr:row>11</xdr:row>
      <xdr:rowOff>200660</xdr:rowOff>
    </xdr:to>
    <xdr:sp macro="" textlink="">
      <xdr:nvSpPr>
        <xdr:cNvPr id="27" name="sum98_9">
          <a:extLst>
            <a:ext uri="{FF2B5EF4-FFF2-40B4-BE49-F238E27FC236}">
              <a16:creationId xmlns:a16="http://schemas.microsoft.com/office/drawing/2014/main" id="{5829486C-D58A-C84D-0FB0-E1FF389391BC}"/>
            </a:ext>
          </a:extLst>
        </xdr:cNvPr>
        <xdr:cNvSpPr txBox="1"/>
      </xdr:nvSpPr>
      <xdr:spPr>
        <a:xfrm>
          <a:off x="27157046"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55880</xdr:colOff>
      <xdr:row>11</xdr:row>
      <xdr:rowOff>200660</xdr:rowOff>
    </xdr:from>
    <xdr:to>
      <xdr:col>18</xdr:col>
      <xdr:colOff>531266</xdr:colOff>
      <xdr:row>13</xdr:row>
      <xdr:rowOff>154940</xdr:rowOff>
    </xdr:to>
    <xdr:sp macro="OpenLiveMember98" textlink="">
      <xdr:nvSpPr>
        <xdr:cNvPr id="28" name="sum98_10" descr="COLUMN|C1">
          <a:extLst>
            <a:ext uri="{FF2B5EF4-FFF2-40B4-BE49-F238E27FC236}">
              <a16:creationId xmlns:a16="http://schemas.microsoft.com/office/drawing/2014/main" id="{D04DE705-014E-F2AE-AA96-E966EF5C3D6B}"/>
            </a:ext>
          </a:extLst>
        </xdr:cNvPr>
        <xdr:cNvSpPr txBox="1"/>
      </xdr:nvSpPr>
      <xdr:spPr>
        <a:xfrm>
          <a:off x="18597880" y="4071620"/>
          <a:ext cx="136946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18</xdr:col>
      <xdr:colOff>531267</xdr:colOff>
      <xdr:row>11</xdr:row>
      <xdr:rowOff>200660</xdr:rowOff>
    </xdr:from>
    <xdr:to>
      <xdr:col>19</xdr:col>
      <xdr:colOff>778409</xdr:colOff>
      <xdr:row>13</xdr:row>
      <xdr:rowOff>154940</xdr:rowOff>
    </xdr:to>
    <xdr:sp macro="" textlink="">
      <xdr:nvSpPr>
        <xdr:cNvPr id="29" name="sum98_11">
          <a:extLst>
            <a:ext uri="{FF2B5EF4-FFF2-40B4-BE49-F238E27FC236}">
              <a16:creationId xmlns:a16="http://schemas.microsoft.com/office/drawing/2014/main" id="{F578FE4E-5400-6262-A884-197124BC93C2}"/>
            </a:ext>
          </a:extLst>
        </xdr:cNvPr>
        <xdr:cNvSpPr txBox="1"/>
      </xdr:nvSpPr>
      <xdr:spPr>
        <a:xfrm>
          <a:off x="19967347" y="4071620"/>
          <a:ext cx="114122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19</xdr:col>
      <xdr:colOff>778409</xdr:colOff>
      <xdr:row>11</xdr:row>
      <xdr:rowOff>200660</xdr:rowOff>
    </xdr:from>
    <xdr:to>
      <xdr:col>20</xdr:col>
      <xdr:colOff>740245</xdr:colOff>
      <xdr:row>13</xdr:row>
      <xdr:rowOff>154940</xdr:rowOff>
    </xdr:to>
    <xdr:sp macro="" textlink="">
      <xdr:nvSpPr>
        <xdr:cNvPr id="30" name="sum98_12">
          <a:extLst>
            <a:ext uri="{FF2B5EF4-FFF2-40B4-BE49-F238E27FC236}">
              <a16:creationId xmlns:a16="http://schemas.microsoft.com/office/drawing/2014/main" id="{543DE28C-0852-1ACD-688E-A0ACDFF84093}"/>
            </a:ext>
          </a:extLst>
        </xdr:cNvPr>
        <xdr:cNvSpPr txBox="1"/>
      </xdr:nvSpPr>
      <xdr:spPr>
        <a:xfrm>
          <a:off x="21108569" y="4071620"/>
          <a:ext cx="85591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20</xdr:col>
      <xdr:colOff>740246</xdr:colOff>
      <xdr:row>11</xdr:row>
      <xdr:rowOff>200660</xdr:rowOff>
    </xdr:from>
    <xdr:to>
      <xdr:col>21</xdr:col>
      <xdr:colOff>587960</xdr:colOff>
      <xdr:row>13</xdr:row>
      <xdr:rowOff>154940</xdr:rowOff>
    </xdr:to>
    <xdr:sp macro="" textlink="">
      <xdr:nvSpPr>
        <xdr:cNvPr id="31" name="sum98_13">
          <a:extLst>
            <a:ext uri="{FF2B5EF4-FFF2-40B4-BE49-F238E27FC236}">
              <a16:creationId xmlns:a16="http://schemas.microsoft.com/office/drawing/2014/main" id="{75FC53D3-7B3D-DB5B-624B-3713D841FEA7}"/>
            </a:ext>
          </a:extLst>
        </xdr:cNvPr>
        <xdr:cNvSpPr txBox="1"/>
      </xdr:nvSpPr>
      <xdr:spPr>
        <a:xfrm>
          <a:off x="21964486" y="4071620"/>
          <a:ext cx="74179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21</xdr:col>
      <xdr:colOff>587959</xdr:colOff>
      <xdr:row>11</xdr:row>
      <xdr:rowOff>200660</xdr:rowOff>
    </xdr:from>
    <xdr:to>
      <xdr:col>23</xdr:col>
      <xdr:colOff>397510</xdr:colOff>
      <xdr:row>13</xdr:row>
      <xdr:rowOff>154940</xdr:rowOff>
    </xdr:to>
    <xdr:sp macro="" textlink="">
      <xdr:nvSpPr>
        <xdr:cNvPr id="32" name="sum98_14">
          <a:extLst>
            <a:ext uri="{FF2B5EF4-FFF2-40B4-BE49-F238E27FC236}">
              <a16:creationId xmlns:a16="http://schemas.microsoft.com/office/drawing/2014/main" id="{42944454-9DB8-5C94-18BA-5E1818832B9B}"/>
            </a:ext>
          </a:extLst>
        </xdr:cNvPr>
        <xdr:cNvSpPr txBox="1"/>
      </xdr:nvSpPr>
      <xdr:spPr>
        <a:xfrm>
          <a:off x="22706279" y="4071620"/>
          <a:ext cx="159771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23</xdr:col>
      <xdr:colOff>397509</xdr:colOff>
      <xdr:row>11</xdr:row>
      <xdr:rowOff>200660</xdr:rowOff>
    </xdr:from>
    <xdr:to>
      <xdr:col>26</xdr:col>
      <xdr:colOff>568324</xdr:colOff>
      <xdr:row>13</xdr:row>
      <xdr:rowOff>154940</xdr:rowOff>
    </xdr:to>
    <xdr:sp macro="" textlink="">
      <xdr:nvSpPr>
        <xdr:cNvPr id="33" name="sum98_15">
          <a:extLst>
            <a:ext uri="{FF2B5EF4-FFF2-40B4-BE49-F238E27FC236}">
              <a16:creationId xmlns:a16="http://schemas.microsoft.com/office/drawing/2014/main" id="{CA480B9E-9C92-840E-7A10-2C0396E6F733}"/>
            </a:ext>
          </a:extLst>
        </xdr:cNvPr>
        <xdr:cNvSpPr txBox="1"/>
      </xdr:nvSpPr>
      <xdr:spPr>
        <a:xfrm>
          <a:off x="24303989"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26</xdr:col>
      <xdr:colOff>568326</xdr:colOff>
      <xdr:row>11</xdr:row>
      <xdr:rowOff>200660</xdr:rowOff>
    </xdr:from>
    <xdr:to>
      <xdr:col>29</xdr:col>
      <xdr:colOff>739141</xdr:colOff>
      <xdr:row>13</xdr:row>
      <xdr:rowOff>154940</xdr:rowOff>
    </xdr:to>
    <xdr:sp macro="" textlink="">
      <xdr:nvSpPr>
        <xdr:cNvPr id="34" name="sum98_16">
          <a:extLst>
            <a:ext uri="{FF2B5EF4-FFF2-40B4-BE49-F238E27FC236}">
              <a16:creationId xmlns:a16="http://schemas.microsoft.com/office/drawing/2014/main" id="{17083B35-F4B4-1BD9-499F-2192AE47A318}"/>
            </a:ext>
          </a:extLst>
        </xdr:cNvPr>
        <xdr:cNvSpPr txBox="1"/>
      </xdr:nvSpPr>
      <xdr:spPr>
        <a:xfrm>
          <a:off x="27157046"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229664</xdr:colOff>
      <xdr:row>1</xdr:row>
      <xdr:rowOff>76200</xdr:rowOff>
    </xdr:from>
    <xdr:to>
      <xdr:col>15</xdr:col>
      <xdr:colOff>1347677</xdr:colOff>
      <xdr:row>4</xdr:row>
      <xdr:rowOff>236220</xdr:rowOff>
    </xdr:to>
    <xdr:pic>
      <xdr:nvPicPr>
        <xdr:cNvPr id="4" name="CMA_Company_Logo" descr="C M Wong &amp; Associates Ltd company logo">
          <a:extLst>
            <a:ext uri="{FF2B5EF4-FFF2-40B4-BE49-F238E27FC236}">
              <a16:creationId xmlns:a16="http://schemas.microsoft.com/office/drawing/2014/main" id="{4F855AE8-C008-1F8F-DB64-51E6A6C4AC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830" t="21212" r="19894" b="39731"/>
        <a:stretch>
          <a:fillRect/>
        </a:stretch>
      </xdr:blipFill>
      <xdr:spPr>
        <a:xfrm>
          <a:off x="11735864" y="441960"/>
          <a:ext cx="6337713" cy="1097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63500</xdr:colOff>
      <xdr:row>3</xdr:row>
      <xdr:rowOff>12700</xdr:rowOff>
    </xdr:from>
    <xdr:to>
      <xdr:col>11</xdr:col>
      <xdr:colOff>1513840</xdr:colOff>
      <xdr:row>4</xdr:row>
      <xdr:rowOff>314960</xdr:rowOff>
    </xdr:to>
    <xdr:sp macro="Check97" textlink="">
      <xdr:nvSpPr>
        <xdr:cNvPr id="2" name="Check97_Button">
          <a:extLst>
            <a:ext uri="{FF2B5EF4-FFF2-40B4-BE49-F238E27FC236}">
              <a16:creationId xmlns:a16="http://schemas.microsoft.com/office/drawing/2014/main" id="{0D176ACC-FB74-3B78-CADC-274260F44860}"/>
            </a:ext>
          </a:extLst>
        </xdr:cNvPr>
        <xdr:cNvSpPr/>
      </xdr:nvSpPr>
      <xdr:spPr>
        <a:xfrm>
          <a:off x="11958320" y="363220"/>
          <a:ext cx="4300220" cy="5918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0</xdr:col>
      <xdr:colOff>127000</xdr:colOff>
      <xdr:row>143</xdr:row>
      <xdr:rowOff>71968</xdr:rowOff>
    </xdr:from>
    <xdr:to>
      <xdr:col>14</xdr:col>
      <xdr:colOff>692572</xdr:colOff>
      <xdr:row>144</xdr:row>
      <xdr:rowOff>224368</xdr:rowOff>
    </xdr:to>
    <xdr:sp macro="" textlink="">
      <xdr:nvSpPr>
        <xdr:cNvPr id="4" name="sbslab72_1">
          <a:extLst>
            <a:ext uri="{FF2B5EF4-FFF2-40B4-BE49-F238E27FC236}">
              <a16:creationId xmlns:a16="http://schemas.microsoft.com/office/drawing/2014/main" id="{735A3D93-D8CF-F14A-0601-4A2FC7FAF033}"/>
            </a:ext>
          </a:extLst>
        </xdr:cNvPr>
        <xdr:cNvSpPr txBox="1"/>
      </xdr:nvSpPr>
      <xdr:spPr>
        <a:xfrm>
          <a:off x="127000" y="38402261"/>
          <a:ext cx="19751039"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900">
              <a:solidFill>
                <a:srgbClr val="000000"/>
              </a:solidFill>
              <a:latin typeface="Arial" panose="020B0604020202020204" pitchFamily="34" charset="0"/>
            </a:rPr>
            <a:t>Enter secondary beam dimensions to show this section.</a:t>
          </a:r>
          <a:endParaRPr lang="zh-CN" altLang="en-US" sz="900">
            <a:solidFill>
              <a:srgbClr val="000000"/>
            </a:solidFill>
            <a:latin typeface="Arial" panose="020B0604020202020204" pitchFamily="34" charset="0"/>
          </a:endParaRPr>
        </a:p>
      </xdr:txBody>
    </xdr:sp>
    <xdr:clientData/>
  </xdr:twoCellAnchor>
  <xdr:twoCellAnchor editAs="absolute">
    <xdr:from>
      <xdr:col>9</xdr:col>
      <xdr:colOff>88900</xdr:colOff>
      <xdr:row>8</xdr:row>
      <xdr:rowOff>0</xdr:rowOff>
    </xdr:from>
    <xdr:to>
      <xdr:col>21</xdr:col>
      <xdr:colOff>878840</xdr:colOff>
      <xdr:row>9</xdr:row>
      <xdr:rowOff>177800</xdr:rowOff>
    </xdr:to>
    <xdr:sp macro="" textlink="">
      <xdr:nvSpPr>
        <xdr:cNvPr id="46" name="sum98_1">
          <a:extLst>
            <a:ext uri="{FF2B5EF4-FFF2-40B4-BE49-F238E27FC236}">
              <a16:creationId xmlns:a16="http://schemas.microsoft.com/office/drawing/2014/main" id="{269962EB-4548-03F6-6EC3-4441FB01E068}"/>
            </a:ext>
          </a:extLst>
        </xdr:cNvPr>
        <xdr:cNvSpPr txBox="1"/>
      </xdr:nvSpPr>
      <xdr:spPr>
        <a:xfrm>
          <a:off x="11983720" y="1737360"/>
          <a:ext cx="157556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9</xdr:col>
      <xdr:colOff>88900</xdr:colOff>
      <xdr:row>9</xdr:row>
      <xdr:rowOff>177800</xdr:rowOff>
    </xdr:from>
    <xdr:to>
      <xdr:col>21</xdr:col>
      <xdr:colOff>878840</xdr:colOff>
      <xdr:row>10</xdr:row>
      <xdr:rowOff>180340</xdr:rowOff>
    </xdr:to>
    <xdr:sp macro="" textlink="">
      <xdr:nvSpPr>
        <xdr:cNvPr id="47" name="sum98_2">
          <a:extLst>
            <a:ext uri="{FF2B5EF4-FFF2-40B4-BE49-F238E27FC236}">
              <a16:creationId xmlns:a16="http://schemas.microsoft.com/office/drawing/2014/main" id="{2F81893A-9782-FCD4-9CDD-826FF6D627EF}"/>
            </a:ext>
          </a:extLst>
        </xdr:cNvPr>
        <xdr:cNvSpPr txBox="1"/>
      </xdr:nvSpPr>
      <xdr:spPr>
        <a:xfrm>
          <a:off x="11983720" y="2067560"/>
          <a:ext cx="157556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9</xdr:col>
      <xdr:colOff>88900</xdr:colOff>
      <xdr:row>10</xdr:row>
      <xdr:rowOff>180340</xdr:rowOff>
    </xdr:from>
    <xdr:to>
      <xdr:col>10</xdr:col>
      <xdr:colOff>707034</xdr:colOff>
      <xdr:row>11</xdr:row>
      <xdr:rowOff>284480</xdr:rowOff>
    </xdr:to>
    <xdr:sp macro="" textlink="">
      <xdr:nvSpPr>
        <xdr:cNvPr id="48" name="sum98_3">
          <a:extLst>
            <a:ext uri="{FF2B5EF4-FFF2-40B4-BE49-F238E27FC236}">
              <a16:creationId xmlns:a16="http://schemas.microsoft.com/office/drawing/2014/main" id="{1AF2DE43-E577-A9BD-080E-901861B9A236}"/>
            </a:ext>
          </a:extLst>
        </xdr:cNvPr>
        <xdr:cNvSpPr txBox="1"/>
      </xdr:nvSpPr>
      <xdr:spPr>
        <a:xfrm>
          <a:off x="11983720" y="2550160"/>
          <a:ext cx="189067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10</xdr:col>
      <xdr:colOff>707035</xdr:colOff>
      <xdr:row>10</xdr:row>
      <xdr:rowOff>180340</xdr:rowOff>
    </xdr:from>
    <xdr:to>
      <xdr:col>11</xdr:col>
      <xdr:colOff>705257</xdr:colOff>
      <xdr:row>11</xdr:row>
      <xdr:rowOff>284480</xdr:rowOff>
    </xdr:to>
    <xdr:sp macro="" textlink="">
      <xdr:nvSpPr>
        <xdr:cNvPr id="49" name="sum98_4">
          <a:extLst>
            <a:ext uri="{FF2B5EF4-FFF2-40B4-BE49-F238E27FC236}">
              <a16:creationId xmlns:a16="http://schemas.microsoft.com/office/drawing/2014/main" id="{BBF6573E-E835-9233-CD72-D771B7D4D543}"/>
            </a:ext>
          </a:extLst>
        </xdr:cNvPr>
        <xdr:cNvSpPr txBox="1"/>
      </xdr:nvSpPr>
      <xdr:spPr>
        <a:xfrm>
          <a:off x="13874395" y="2550160"/>
          <a:ext cx="157556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11</xdr:col>
      <xdr:colOff>705256</xdr:colOff>
      <xdr:row>10</xdr:row>
      <xdr:rowOff>180340</xdr:rowOff>
    </xdr:from>
    <xdr:to>
      <xdr:col>12</xdr:col>
      <xdr:colOff>309587</xdr:colOff>
      <xdr:row>11</xdr:row>
      <xdr:rowOff>284480</xdr:rowOff>
    </xdr:to>
    <xdr:sp macro="" textlink="">
      <xdr:nvSpPr>
        <xdr:cNvPr id="50" name="sum98_5">
          <a:extLst>
            <a:ext uri="{FF2B5EF4-FFF2-40B4-BE49-F238E27FC236}">
              <a16:creationId xmlns:a16="http://schemas.microsoft.com/office/drawing/2014/main" id="{B0FB8AC4-6BC6-8E3B-7D2A-A9AE9DAC6518}"/>
            </a:ext>
          </a:extLst>
        </xdr:cNvPr>
        <xdr:cNvSpPr txBox="1"/>
      </xdr:nvSpPr>
      <xdr:spPr>
        <a:xfrm>
          <a:off x="15449956" y="2550160"/>
          <a:ext cx="118167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 / Depth</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309588</xdr:colOff>
      <xdr:row>10</xdr:row>
      <xdr:rowOff>180340</xdr:rowOff>
    </xdr:from>
    <xdr:to>
      <xdr:col>12</xdr:col>
      <xdr:colOff>1333703</xdr:colOff>
      <xdr:row>11</xdr:row>
      <xdr:rowOff>284480</xdr:rowOff>
    </xdr:to>
    <xdr:sp macro="" textlink="">
      <xdr:nvSpPr>
        <xdr:cNvPr id="51" name="sum98_6">
          <a:extLst>
            <a:ext uri="{FF2B5EF4-FFF2-40B4-BE49-F238E27FC236}">
              <a16:creationId xmlns:a16="http://schemas.microsoft.com/office/drawing/2014/main" id="{8AB61271-1E06-086F-E886-76E2922B45A7}"/>
            </a:ext>
          </a:extLst>
        </xdr:cNvPr>
        <xdr:cNvSpPr txBox="1"/>
      </xdr:nvSpPr>
      <xdr:spPr>
        <a:xfrm>
          <a:off x="16631628" y="2550160"/>
          <a:ext cx="102411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1333702</xdr:colOff>
      <xdr:row>10</xdr:row>
      <xdr:rowOff>180340</xdr:rowOff>
    </xdr:from>
    <xdr:to>
      <xdr:col>14</xdr:col>
      <xdr:colOff>689609</xdr:colOff>
      <xdr:row>11</xdr:row>
      <xdr:rowOff>284480</xdr:rowOff>
    </xdr:to>
    <xdr:sp macro="" textlink="">
      <xdr:nvSpPr>
        <xdr:cNvPr id="52" name="sum98_7">
          <a:extLst>
            <a:ext uri="{FF2B5EF4-FFF2-40B4-BE49-F238E27FC236}">
              <a16:creationId xmlns:a16="http://schemas.microsoft.com/office/drawing/2014/main" id="{8156700E-47D5-B888-2B6C-3E3B1408D8E0}"/>
            </a:ext>
          </a:extLst>
        </xdr:cNvPr>
        <xdr:cNvSpPr txBox="1"/>
      </xdr:nvSpPr>
      <xdr:spPr>
        <a:xfrm>
          <a:off x="17655742" y="2550160"/>
          <a:ext cx="2205787"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14</xdr:col>
      <xdr:colOff>689610</xdr:colOff>
      <xdr:row>10</xdr:row>
      <xdr:rowOff>180340</xdr:rowOff>
    </xdr:from>
    <xdr:to>
      <xdr:col>17</xdr:col>
      <xdr:colOff>810895</xdr:colOff>
      <xdr:row>11</xdr:row>
      <xdr:rowOff>284480</xdr:rowOff>
    </xdr:to>
    <xdr:sp macro="" textlink="">
      <xdr:nvSpPr>
        <xdr:cNvPr id="53" name="sum98_8">
          <a:extLst>
            <a:ext uri="{FF2B5EF4-FFF2-40B4-BE49-F238E27FC236}">
              <a16:creationId xmlns:a16="http://schemas.microsoft.com/office/drawing/2014/main" id="{ACD4E8E1-E3CF-336C-6625-DCE0254C4EC4}"/>
            </a:ext>
          </a:extLst>
        </xdr:cNvPr>
        <xdr:cNvSpPr txBox="1"/>
      </xdr:nvSpPr>
      <xdr:spPr>
        <a:xfrm>
          <a:off x="19861530"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810896</xdr:colOff>
      <xdr:row>10</xdr:row>
      <xdr:rowOff>180340</xdr:rowOff>
    </xdr:from>
    <xdr:to>
      <xdr:col>21</xdr:col>
      <xdr:colOff>878841</xdr:colOff>
      <xdr:row>11</xdr:row>
      <xdr:rowOff>284480</xdr:rowOff>
    </xdr:to>
    <xdr:sp macro="" textlink="">
      <xdr:nvSpPr>
        <xdr:cNvPr id="54" name="sum98_9">
          <a:extLst>
            <a:ext uri="{FF2B5EF4-FFF2-40B4-BE49-F238E27FC236}">
              <a16:creationId xmlns:a16="http://schemas.microsoft.com/office/drawing/2014/main" id="{6278F6AA-E27F-ECA1-9B4E-7072F6049368}"/>
            </a:ext>
          </a:extLst>
        </xdr:cNvPr>
        <xdr:cNvSpPr txBox="1"/>
      </xdr:nvSpPr>
      <xdr:spPr>
        <a:xfrm>
          <a:off x="23800436"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9</xdr:col>
      <xdr:colOff>88900</xdr:colOff>
      <xdr:row>11</xdr:row>
      <xdr:rowOff>284480</xdr:rowOff>
    </xdr:from>
    <xdr:to>
      <xdr:col>10</xdr:col>
      <xdr:colOff>707034</xdr:colOff>
      <xdr:row>13</xdr:row>
      <xdr:rowOff>162560</xdr:rowOff>
    </xdr:to>
    <xdr:sp macro="OpenLiveMember98" textlink="">
      <xdr:nvSpPr>
        <xdr:cNvPr id="55" name="sum98_10" descr="COLUMN|C1">
          <a:extLst>
            <a:ext uri="{FF2B5EF4-FFF2-40B4-BE49-F238E27FC236}">
              <a16:creationId xmlns:a16="http://schemas.microsoft.com/office/drawing/2014/main" id="{98F34226-8AB8-2A26-9575-FB9054664232}"/>
            </a:ext>
          </a:extLst>
        </xdr:cNvPr>
        <xdr:cNvSpPr txBox="1"/>
      </xdr:nvSpPr>
      <xdr:spPr>
        <a:xfrm>
          <a:off x="11983720" y="3058160"/>
          <a:ext cx="189067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707035</xdr:colOff>
      <xdr:row>11</xdr:row>
      <xdr:rowOff>284480</xdr:rowOff>
    </xdr:from>
    <xdr:to>
      <xdr:col>11</xdr:col>
      <xdr:colOff>705257</xdr:colOff>
      <xdr:row>13</xdr:row>
      <xdr:rowOff>162560</xdr:rowOff>
    </xdr:to>
    <xdr:sp macro="" textlink="">
      <xdr:nvSpPr>
        <xdr:cNvPr id="56" name="sum98_11">
          <a:extLst>
            <a:ext uri="{FF2B5EF4-FFF2-40B4-BE49-F238E27FC236}">
              <a16:creationId xmlns:a16="http://schemas.microsoft.com/office/drawing/2014/main" id="{5524B867-0700-3DD4-D5E0-2E0E73CDF23E}"/>
            </a:ext>
          </a:extLst>
        </xdr:cNvPr>
        <xdr:cNvSpPr txBox="1"/>
      </xdr:nvSpPr>
      <xdr:spPr>
        <a:xfrm>
          <a:off x="13874395" y="3058160"/>
          <a:ext cx="157556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11</xdr:col>
      <xdr:colOff>705256</xdr:colOff>
      <xdr:row>11</xdr:row>
      <xdr:rowOff>284480</xdr:rowOff>
    </xdr:from>
    <xdr:to>
      <xdr:col>12</xdr:col>
      <xdr:colOff>309587</xdr:colOff>
      <xdr:row>13</xdr:row>
      <xdr:rowOff>162560</xdr:rowOff>
    </xdr:to>
    <xdr:sp macro="" textlink="">
      <xdr:nvSpPr>
        <xdr:cNvPr id="57" name="sum98_12">
          <a:extLst>
            <a:ext uri="{FF2B5EF4-FFF2-40B4-BE49-F238E27FC236}">
              <a16:creationId xmlns:a16="http://schemas.microsoft.com/office/drawing/2014/main" id="{A89557D7-D035-0650-BD3E-85D0D6252113}"/>
            </a:ext>
          </a:extLst>
        </xdr:cNvPr>
        <xdr:cNvSpPr txBox="1"/>
      </xdr:nvSpPr>
      <xdr:spPr>
        <a:xfrm>
          <a:off x="15449956" y="3058160"/>
          <a:ext cx="118167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309588</xdr:colOff>
      <xdr:row>11</xdr:row>
      <xdr:rowOff>284480</xdr:rowOff>
    </xdr:from>
    <xdr:to>
      <xdr:col>12</xdr:col>
      <xdr:colOff>1333703</xdr:colOff>
      <xdr:row>13</xdr:row>
      <xdr:rowOff>162560</xdr:rowOff>
    </xdr:to>
    <xdr:sp macro="" textlink="">
      <xdr:nvSpPr>
        <xdr:cNvPr id="58" name="sum98_13">
          <a:extLst>
            <a:ext uri="{FF2B5EF4-FFF2-40B4-BE49-F238E27FC236}">
              <a16:creationId xmlns:a16="http://schemas.microsoft.com/office/drawing/2014/main" id="{319ACD9D-54DC-C443-C801-F2199CEA0A27}"/>
            </a:ext>
          </a:extLst>
        </xdr:cNvPr>
        <xdr:cNvSpPr txBox="1"/>
      </xdr:nvSpPr>
      <xdr:spPr>
        <a:xfrm>
          <a:off x="16631628" y="3058160"/>
          <a:ext cx="102411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1333702</xdr:colOff>
      <xdr:row>11</xdr:row>
      <xdr:rowOff>284480</xdr:rowOff>
    </xdr:from>
    <xdr:to>
      <xdr:col>14</xdr:col>
      <xdr:colOff>689609</xdr:colOff>
      <xdr:row>13</xdr:row>
      <xdr:rowOff>162560</xdr:rowOff>
    </xdr:to>
    <xdr:sp macro="" textlink="">
      <xdr:nvSpPr>
        <xdr:cNvPr id="59" name="sum98_14">
          <a:extLst>
            <a:ext uri="{FF2B5EF4-FFF2-40B4-BE49-F238E27FC236}">
              <a16:creationId xmlns:a16="http://schemas.microsoft.com/office/drawing/2014/main" id="{01FC264B-216D-C9A6-6C48-725BD47FF94B}"/>
            </a:ext>
          </a:extLst>
        </xdr:cNvPr>
        <xdr:cNvSpPr txBox="1"/>
      </xdr:nvSpPr>
      <xdr:spPr>
        <a:xfrm>
          <a:off x="17655742" y="3058160"/>
          <a:ext cx="2205787"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14</xdr:col>
      <xdr:colOff>689610</xdr:colOff>
      <xdr:row>11</xdr:row>
      <xdr:rowOff>284480</xdr:rowOff>
    </xdr:from>
    <xdr:to>
      <xdr:col>17</xdr:col>
      <xdr:colOff>810895</xdr:colOff>
      <xdr:row>13</xdr:row>
      <xdr:rowOff>162560</xdr:rowOff>
    </xdr:to>
    <xdr:sp macro="" textlink="">
      <xdr:nvSpPr>
        <xdr:cNvPr id="60" name="sum98_15">
          <a:extLst>
            <a:ext uri="{FF2B5EF4-FFF2-40B4-BE49-F238E27FC236}">
              <a16:creationId xmlns:a16="http://schemas.microsoft.com/office/drawing/2014/main" id="{439BF3BF-82E0-30C7-16CE-73FB6E0E93BC}"/>
            </a:ext>
          </a:extLst>
        </xdr:cNvPr>
        <xdr:cNvSpPr txBox="1"/>
      </xdr:nvSpPr>
      <xdr:spPr>
        <a:xfrm>
          <a:off x="19861530"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17</xdr:col>
      <xdr:colOff>810896</xdr:colOff>
      <xdr:row>11</xdr:row>
      <xdr:rowOff>284480</xdr:rowOff>
    </xdr:from>
    <xdr:to>
      <xdr:col>21</xdr:col>
      <xdr:colOff>878841</xdr:colOff>
      <xdr:row>13</xdr:row>
      <xdr:rowOff>162560</xdr:rowOff>
    </xdr:to>
    <xdr:sp macro="" textlink="">
      <xdr:nvSpPr>
        <xdr:cNvPr id="61" name="sum98_16">
          <a:extLst>
            <a:ext uri="{FF2B5EF4-FFF2-40B4-BE49-F238E27FC236}">
              <a16:creationId xmlns:a16="http://schemas.microsoft.com/office/drawing/2014/main" id="{68C01618-137A-B397-D58A-AFDD02B82038}"/>
            </a:ext>
          </a:extLst>
        </xdr:cNvPr>
        <xdr:cNvSpPr txBox="1"/>
      </xdr:nvSpPr>
      <xdr:spPr>
        <a:xfrm>
          <a:off x="23800436"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33</xdr:col>
      <xdr:colOff>12700</xdr:colOff>
      <xdr:row>5</xdr:row>
      <xdr:rowOff>12700</xdr:rowOff>
    </xdr:from>
    <xdr:to>
      <xdr:col>41</xdr:col>
      <xdr:colOff>657859</xdr:colOff>
      <xdr:row>19</xdr:row>
      <xdr:rowOff>337820</xdr:rowOff>
    </xdr:to>
    <xdr:sp macro="" textlink="">
      <xdr:nvSpPr>
        <xdr:cNvPr id="19" name="tbSketch_background">
          <a:extLst>
            <a:ext uri="{FF2B5EF4-FFF2-40B4-BE49-F238E27FC236}">
              <a16:creationId xmlns:a16="http://schemas.microsoft.com/office/drawing/2014/main" id="{2769BC8B-01C1-8416-D43D-7B70FFA6C1B8}"/>
            </a:ext>
          </a:extLst>
        </xdr:cNvPr>
        <xdr:cNvSpPr/>
      </xdr:nvSpPr>
      <xdr:spPr>
        <a:xfrm>
          <a:off x="28473400" y="1856740"/>
          <a:ext cx="600963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139700</xdr:colOff>
      <xdr:row>5</xdr:row>
      <xdr:rowOff>139700</xdr:rowOff>
    </xdr:from>
    <xdr:to>
      <xdr:col>41</xdr:col>
      <xdr:colOff>530860</xdr:colOff>
      <xdr:row>6</xdr:row>
      <xdr:rowOff>193040</xdr:rowOff>
    </xdr:to>
    <xdr:sp macro="" textlink="">
      <xdr:nvSpPr>
        <xdr:cNvPr id="20" name="tbSketch_title">
          <a:extLst>
            <a:ext uri="{FF2B5EF4-FFF2-40B4-BE49-F238E27FC236}">
              <a16:creationId xmlns:a16="http://schemas.microsoft.com/office/drawing/2014/main" id="{B7170434-9F72-64E7-F5E9-19E64AD48EBB}"/>
            </a:ext>
          </a:extLst>
        </xdr:cNvPr>
        <xdr:cNvSpPr txBox="1"/>
      </xdr:nvSpPr>
      <xdr:spPr>
        <a:xfrm>
          <a:off x="28600400" y="1983740"/>
          <a:ext cx="575564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33</xdr:col>
      <xdr:colOff>622300</xdr:colOff>
      <xdr:row>14</xdr:row>
      <xdr:rowOff>278511</xdr:rowOff>
    </xdr:from>
    <xdr:to>
      <xdr:col>41</xdr:col>
      <xdr:colOff>48259</xdr:colOff>
      <xdr:row>16</xdr:row>
      <xdr:rowOff>54991</xdr:rowOff>
    </xdr:to>
    <xdr:sp macro="" textlink="">
      <xdr:nvSpPr>
        <xdr:cNvPr id="21" name="tbSketch_beam">
          <a:extLst>
            <a:ext uri="{FF2B5EF4-FFF2-40B4-BE49-F238E27FC236}">
              <a16:creationId xmlns:a16="http://schemas.microsoft.com/office/drawing/2014/main" id="{78D43ED4-F3F2-CD36-7C59-2E85E4681C4D}"/>
            </a:ext>
          </a:extLst>
        </xdr:cNvPr>
        <xdr:cNvSpPr/>
      </xdr:nvSpPr>
      <xdr:spPr>
        <a:xfrm>
          <a:off x="29083000" y="4599051"/>
          <a:ext cx="479043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660400</xdr:colOff>
      <xdr:row>15</xdr:row>
      <xdr:rowOff>113411</xdr:rowOff>
    </xdr:from>
    <xdr:to>
      <xdr:col>41</xdr:col>
      <xdr:colOff>10159</xdr:colOff>
      <xdr:row>15</xdr:row>
      <xdr:rowOff>113411</xdr:rowOff>
    </xdr:to>
    <xdr:cxnSp macro="">
      <xdr:nvCxnSpPr>
        <xdr:cNvPr id="22" name="tbSketch_axis">
          <a:extLst>
            <a:ext uri="{FF2B5EF4-FFF2-40B4-BE49-F238E27FC236}">
              <a16:creationId xmlns:a16="http://schemas.microsoft.com/office/drawing/2014/main" id="{5FE3C82E-4952-0716-F5EE-9A63454BFDE7}"/>
            </a:ext>
          </a:extLst>
        </xdr:cNvPr>
        <xdr:cNvCxnSpPr/>
      </xdr:nvCxnSpPr>
      <xdr:spPr>
        <a:xfrm>
          <a:off x="29121100" y="4738751"/>
          <a:ext cx="471423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444500</xdr:colOff>
      <xdr:row>16</xdr:row>
      <xdr:rowOff>54991</xdr:rowOff>
    </xdr:from>
    <xdr:to>
      <xdr:col>34</xdr:col>
      <xdr:colOff>129540</xdr:colOff>
      <xdr:row>17</xdr:row>
      <xdr:rowOff>42291</xdr:rowOff>
    </xdr:to>
    <xdr:sp macro="" textlink="">
      <xdr:nvSpPr>
        <xdr:cNvPr id="23" name="tbSketch_pin">
          <a:extLst>
            <a:ext uri="{FF2B5EF4-FFF2-40B4-BE49-F238E27FC236}">
              <a16:creationId xmlns:a16="http://schemas.microsoft.com/office/drawing/2014/main" id="{C44A9E1C-0501-8EE2-89EE-005985C7E3CE}"/>
            </a:ext>
          </a:extLst>
        </xdr:cNvPr>
        <xdr:cNvSpPr/>
      </xdr:nvSpPr>
      <xdr:spPr>
        <a:xfrm>
          <a:off x="28905200"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541019</xdr:colOff>
      <xdr:row>16</xdr:row>
      <xdr:rowOff>54991</xdr:rowOff>
    </xdr:from>
    <xdr:to>
      <xdr:col>41</xdr:col>
      <xdr:colOff>226059</xdr:colOff>
      <xdr:row>17</xdr:row>
      <xdr:rowOff>42291</xdr:rowOff>
    </xdr:to>
    <xdr:sp macro="" textlink="">
      <xdr:nvSpPr>
        <xdr:cNvPr id="24" name="tbSketch_roller">
          <a:extLst>
            <a:ext uri="{FF2B5EF4-FFF2-40B4-BE49-F238E27FC236}">
              <a16:creationId xmlns:a16="http://schemas.microsoft.com/office/drawing/2014/main" id="{DCDD3610-710E-663A-14AF-AF865BAF5028}"/>
            </a:ext>
          </a:extLst>
        </xdr:cNvPr>
        <xdr:cNvSpPr/>
      </xdr:nvSpPr>
      <xdr:spPr>
        <a:xfrm>
          <a:off x="33695639"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579119</xdr:colOff>
      <xdr:row>17</xdr:row>
      <xdr:rowOff>42291</xdr:rowOff>
    </xdr:from>
    <xdr:to>
      <xdr:col>40</xdr:col>
      <xdr:colOff>655319</xdr:colOff>
      <xdr:row>17</xdr:row>
      <xdr:rowOff>118491</xdr:rowOff>
    </xdr:to>
    <xdr:sp macro="" textlink="">
      <xdr:nvSpPr>
        <xdr:cNvPr id="25" name="tbSketch_wheel-1">
          <a:extLst>
            <a:ext uri="{FF2B5EF4-FFF2-40B4-BE49-F238E27FC236}">
              <a16:creationId xmlns:a16="http://schemas.microsoft.com/office/drawing/2014/main" id="{1EEF4D9E-1870-DEB6-4749-CA1BBDFE8443}"/>
            </a:ext>
          </a:extLst>
        </xdr:cNvPr>
        <xdr:cNvSpPr/>
      </xdr:nvSpPr>
      <xdr:spPr>
        <a:xfrm>
          <a:off x="337337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10159</xdr:colOff>
      <xdr:row>17</xdr:row>
      <xdr:rowOff>42291</xdr:rowOff>
    </xdr:from>
    <xdr:to>
      <xdr:col>41</xdr:col>
      <xdr:colOff>86359</xdr:colOff>
      <xdr:row>17</xdr:row>
      <xdr:rowOff>118491</xdr:rowOff>
    </xdr:to>
    <xdr:sp macro="" textlink="">
      <xdr:nvSpPr>
        <xdr:cNvPr id="26" name="tbSketch_wheel0">
          <a:extLst>
            <a:ext uri="{FF2B5EF4-FFF2-40B4-BE49-F238E27FC236}">
              <a16:creationId xmlns:a16="http://schemas.microsoft.com/office/drawing/2014/main" id="{D340E534-BF78-B59A-1063-0883B9075907}"/>
            </a:ext>
          </a:extLst>
        </xdr:cNvPr>
        <xdr:cNvSpPr/>
      </xdr:nvSpPr>
      <xdr:spPr>
        <a:xfrm>
          <a:off x="338353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111759</xdr:colOff>
      <xdr:row>17</xdr:row>
      <xdr:rowOff>42291</xdr:rowOff>
    </xdr:from>
    <xdr:to>
      <xdr:col>41</xdr:col>
      <xdr:colOff>187959</xdr:colOff>
      <xdr:row>17</xdr:row>
      <xdr:rowOff>118491</xdr:rowOff>
    </xdr:to>
    <xdr:sp macro="" textlink="">
      <xdr:nvSpPr>
        <xdr:cNvPr id="27" name="tbSketch_wheel1">
          <a:extLst>
            <a:ext uri="{FF2B5EF4-FFF2-40B4-BE49-F238E27FC236}">
              <a16:creationId xmlns:a16="http://schemas.microsoft.com/office/drawing/2014/main" id="{7E2EDD43-CF9D-987A-B560-C628ABAAF911}"/>
            </a:ext>
          </a:extLst>
        </xdr:cNvPr>
        <xdr:cNvSpPr/>
      </xdr:nvSpPr>
      <xdr:spPr>
        <a:xfrm>
          <a:off x="339369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368300</xdr:colOff>
      <xdr:row>17</xdr:row>
      <xdr:rowOff>67691</xdr:rowOff>
    </xdr:from>
    <xdr:to>
      <xdr:col>34</xdr:col>
      <xdr:colOff>205740</xdr:colOff>
      <xdr:row>17</xdr:row>
      <xdr:rowOff>67691</xdr:rowOff>
    </xdr:to>
    <xdr:cxnSp macro="">
      <xdr:nvCxnSpPr>
        <xdr:cNvPr id="28" name="tbSketch_groundA">
          <a:extLst>
            <a:ext uri="{FF2B5EF4-FFF2-40B4-BE49-F238E27FC236}">
              <a16:creationId xmlns:a16="http://schemas.microsoft.com/office/drawing/2014/main" id="{2D9F5339-DE12-F376-CA51-BFE3480EE8F3}"/>
            </a:ext>
          </a:extLst>
        </xdr:cNvPr>
        <xdr:cNvCxnSpPr/>
      </xdr:nvCxnSpPr>
      <xdr:spPr>
        <a:xfrm>
          <a:off x="28829000" y="51959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40</xdr:col>
      <xdr:colOff>464819</xdr:colOff>
      <xdr:row>17</xdr:row>
      <xdr:rowOff>143891</xdr:rowOff>
    </xdr:from>
    <xdr:to>
      <xdr:col>41</xdr:col>
      <xdr:colOff>302259</xdr:colOff>
      <xdr:row>17</xdr:row>
      <xdr:rowOff>143891</xdr:rowOff>
    </xdr:to>
    <xdr:cxnSp macro="">
      <xdr:nvCxnSpPr>
        <xdr:cNvPr id="29" name="tbSketch_groundB">
          <a:extLst>
            <a:ext uri="{FF2B5EF4-FFF2-40B4-BE49-F238E27FC236}">
              <a16:creationId xmlns:a16="http://schemas.microsoft.com/office/drawing/2014/main" id="{E3A88C39-31A4-6295-78B6-8EE3C46851C8}"/>
            </a:ext>
          </a:extLst>
        </xdr:cNvPr>
        <xdr:cNvCxnSpPr/>
      </xdr:nvCxnSpPr>
      <xdr:spPr>
        <a:xfrm>
          <a:off x="33619439" y="52721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101600</xdr:colOff>
      <xdr:row>16</xdr:row>
      <xdr:rowOff>16891</xdr:rowOff>
    </xdr:from>
    <xdr:to>
      <xdr:col>33</xdr:col>
      <xdr:colOff>406400</xdr:colOff>
      <xdr:row>17</xdr:row>
      <xdr:rowOff>16891</xdr:rowOff>
    </xdr:to>
    <xdr:sp macro="" textlink="">
      <xdr:nvSpPr>
        <xdr:cNvPr id="30" name="tbSketch_A">
          <a:extLst>
            <a:ext uri="{FF2B5EF4-FFF2-40B4-BE49-F238E27FC236}">
              <a16:creationId xmlns:a16="http://schemas.microsoft.com/office/drawing/2014/main" id="{51F205CA-720C-D7A3-84C8-E1742EB29075}"/>
            </a:ext>
          </a:extLst>
        </xdr:cNvPr>
        <xdr:cNvSpPr txBox="1"/>
      </xdr:nvSpPr>
      <xdr:spPr>
        <a:xfrm>
          <a:off x="28562300"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41</xdr:col>
      <xdr:colOff>264159</xdr:colOff>
      <xdr:row>16</xdr:row>
      <xdr:rowOff>16891</xdr:rowOff>
    </xdr:from>
    <xdr:to>
      <xdr:col>41</xdr:col>
      <xdr:colOff>568959</xdr:colOff>
      <xdr:row>17</xdr:row>
      <xdr:rowOff>16891</xdr:rowOff>
    </xdr:to>
    <xdr:sp macro="" textlink="">
      <xdr:nvSpPr>
        <xdr:cNvPr id="31" name="tbSketch_B">
          <a:extLst>
            <a:ext uri="{FF2B5EF4-FFF2-40B4-BE49-F238E27FC236}">
              <a16:creationId xmlns:a16="http://schemas.microsoft.com/office/drawing/2014/main" id="{D31875E2-591D-F88B-4722-F30563118929}"/>
            </a:ext>
          </a:extLst>
        </xdr:cNvPr>
        <xdr:cNvSpPr txBox="1"/>
      </xdr:nvSpPr>
      <xdr:spPr>
        <a:xfrm>
          <a:off x="34089339"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33</xdr:col>
      <xdr:colOff>622300</xdr:colOff>
      <xdr:row>18</xdr:row>
      <xdr:rowOff>16891</xdr:rowOff>
    </xdr:from>
    <xdr:to>
      <xdr:col>41</xdr:col>
      <xdr:colOff>48259</xdr:colOff>
      <xdr:row>18</xdr:row>
      <xdr:rowOff>16891</xdr:rowOff>
    </xdr:to>
    <xdr:cxnSp macro="">
      <xdr:nvCxnSpPr>
        <xdr:cNvPr id="32" name="tbSketch_dimension">
          <a:extLst>
            <a:ext uri="{FF2B5EF4-FFF2-40B4-BE49-F238E27FC236}">
              <a16:creationId xmlns:a16="http://schemas.microsoft.com/office/drawing/2014/main" id="{39529364-51AE-8F3D-6213-F6E31C62F0C0}"/>
            </a:ext>
          </a:extLst>
        </xdr:cNvPr>
        <xdr:cNvCxnSpPr/>
      </xdr:nvCxnSpPr>
      <xdr:spPr>
        <a:xfrm>
          <a:off x="29083000" y="5449951"/>
          <a:ext cx="479043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622300</xdr:colOff>
      <xdr:row>17</xdr:row>
      <xdr:rowOff>194691</xdr:rowOff>
    </xdr:from>
    <xdr:to>
      <xdr:col>33</xdr:col>
      <xdr:colOff>622300</xdr:colOff>
      <xdr:row>18</xdr:row>
      <xdr:rowOff>93091</xdr:rowOff>
    </xdr:to>
    <xdr:cxnSp macro="">
      <xdr:nvCxnSpPr>
        <xdr:cNvPr id="33" name="tbSketch_tickA">
          <a:extLst>
            <a:ext uri="{FF2B5EF4-FFF2-40B4-BE49-F238E27FC236}">
              <a16:creationId xmlns:a16="http://schemas.microsoft.com/office/drawing/2014/main" id="{072458D7-4C2C-4059-5AB8-E80C6D3E6AE6}"/>
            </a:ext>
          </a:extLst>
        </xdr:cNvPr>
        <xdr:cNvCxnSpPr/>
      </xdr:nvCxnSpPr>
      <xdr:spPr>
        <a:xfrm>
          <a:off x="29083000"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41</xdr:col>
      <xdr:colOff>48259</xdr:colOff>
      <xdr:row>17</xdr:row>
      <xdr:rowOff>194691</xdr:rowOff>
    </xdr:from>
    <xdr:to>
      <xdr:col>41</xdr:col>
      <xdr:colOff>48259</xdr:colOff>
      <xdr:row>18</xdr:row>
      <xdr:rowOff>93091</xdr:rowOff>
    </xdr:to>
    <xdr:cxnSp macro="">
      <xdr:nvCxnSpPr>
        <xdr:cNvPr id="34" name="tbSketch_tickB">
          <a:extLst>
            <a:ext uri="{FF2B5EF4-FFF2-40B4-BE49-F238E27FC236}">
              <a16:creationId xmlns:a16="http://schemas.microsoft.com/office/drawing/2014/main" id="{528AB963-25C8-BEF4-A52F-739A3975A51C}"/>
            </a:ext>
          </a:extLst>
        </xdr:cNvPr>
        <xdr:cNvCxnSpPr/>
      </xdr:nvCxnSpPr>
      <xdr:spPr>
        <a:xfrm>
          <a:off x="33873439"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63500</xdr:colOff>
      <xdr:row>18</xdr:row>
      <xdr:rowOff>143891</xdr:rowOff>
    </xdr:from>
    <xdr:to>
      <xdr:col>41</xdr:col>
      <xdr:colOff>607060</xdr:colOff>
      <xdr:row>19</xdr:row>
      <xdr:rowOff>194691</xdr:rowOff>
    </xdr:to>
    <xdr:sp macro="" textlink="">
      <xdr:nvSpPr>
        <xdr:cNvPr id="35" name="tbSketch_span">
          <a:extLst>
            <a:ext uri="{FF2B5EF4-FFF2-40B4-BE49-F238E27FC236}">
              <a16:creationId xmlns:a16="http://schemas.microsoft.com/office/drawing/2014/main" id="{7E613DB5-7CA4-037A-FBD2-9674C238C6A9}"/>
            </a:ext>
          </a:extLst>
        </xdr:cNvPr>
        <xdr:cNvSpPr txBox="1"/>
      </xdr:nvSpPr>
      <xdr:spPr>
        <a:xfrm>
          <a:off x="28524200" y="5576951"/>
          <a:ext cx="590804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Enter Span, P and position a in input row 6.</a:t>
          </a:r>
          <a:endParaRPr lang="zh-CN" altLang="en-US" sz="1000" b="1">
            <a:solidFill>
              <a:srgbClr val="000000"/>
            </a:solidFill>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121920</xdr:colOff>
          <xdr:row>4</xdr:row>
          <xdr:rowOff>30480</xdr:rowOff>
        </xdr:to>
        <xdr:sp macro="" textlink="">
          <xdr:nvSpPr>
            <xdr:cNvPr id="1025" name="btnGenerateCopy"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Generate / update 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373380</xdr:colOff>
      <xdr:row>51</xdr:row>
      <xdr:rowOff>15240</xdr:rowOff>
    </xdr:from>
    <xdr:to>
      <xdr:col>8</xdr:col>
      <xdr:colOff>68580</xdr:colOff>
      <xdr:row>54</xdr:row>
      <xdr:rowOff>22860</xdr:rowOff>
    </xdr:to>
    <xdr:grpSp>
      <xdr:nvGrpSpPr>
        <xdr:cNvPr id="2" name="Group 80">
          <a:extLst>
            <a:ext uri="{FF2B5EF4-FFF2-40B4-BE49-F238E27FC236}">
              <a16:creationId xmlns:a16="http://schemas.microsoft.com/office/drawing/2014/main" id="{40862AD3-71B7-4924-A93D-1545EA8F56A3}"/>
            </a:ext>
          </a:extLst>
        </xdr:cNvPr>
        <xdr:cNvGrpSpPr>
          <a:grpSpLocks/>
        </xdr:cNvGrpSpPr>
      </xdr:nvGrpSpPr>
      <xdr:grpSpPr bwMode="auto">
        <a:xfrm>
          <a:off x="373380" y="13350240"/>
          <a:ext cx="4572000" cy="862753"/>
          <a:chOff x="715" y="1397"/>
          <a:chExt cx="503" cy="60"/>
        </a:xfrm>
      </xdr:grpSpPr>
      <xdr:sp macro="" textlink="">
        <xdr:nvSpPr>
          <xdr:cNvPr id="3" name="Rectangle 25">
            <a:extLst>
              <a:ext uri="{FF2B5EF4-FFF2-40B4-BE49-F238E27FC236}">
                <a16:creationId xmlns:a16="http://schemas.microsoft.com/office/drawing/2014/main" id="{77D0C52B-7C7E-CC49-4166-867A7BCA7BC9}"/>
              </a:ext>
            </a:extLst>
          </xdr:cNvPr>
          <xdr:cNvSpPr>
            <a:spLocks noChangeArrowheads="1"/>
          </xdr:cNvSpPr>
        </xdr:nvSpPr>
        <xdr:spPr bwMode="auto">
          <a:xfrm>
            <a:off x="715" y="1397"/>
            <a:ext cx="503" cy="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 name="Oval 26">
            <a:extLst>
              <a:ext uri="{FF2B5EF4-FFF2-40B4-BE49-F238E27FC236}">
                <a16:creationId xmlns:a16="http://schemas.microsoft.com/office/drawing/2014/main" id="{E5D8AFE5-3B9F-211F-2D44-DE089EA36D13}"/>
              </a:ext>
            </a:extLst>
          </xdr:cNvPr>
          <xdr:cNvSpPr>
            <a:spLocks noChangeArrowheads="1"/>
          </xdr:cNvSpPr>
        </xdr:nvSpPr>
        <xdr:spPr bwMode="auto">
          <a:xfrm>
            <a:off x="73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 name="Oval 29">
            <a:extLst>
              <a:ext uri="{FF2B5EF4-FFF2-40B4-BE49-F238E27FC236}">
                <a16:creationId xmlns:a16="http://schemas.microsoft.com/office/drawing/2014/main" id="{9E7081D5-CCC4-F852-1FC6-A0752A7A58E5}"/>
              </a:ext>
            </a:extLst>
          </xdr:cNvPr>
          <xdr:cNvSpPr>
            <a:spLocks noChangeArrowheads="1"/>
          </xdr:cNvSpPr>
        </xdr:nvSpPr>
        <xdr:spPr bwMode="auto">
          <a:xfrm>
            <a:off x="75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6" name="Oval 30">
            <a:extLst>
              <a:ext uri="{FF2B5EF4-FFF2-40B4-BE49-F238E27FC236}">
                <a16:creationId xmlns:a16="http://schemas.microsoft.com/office/drawing/2014/main" id="{8DCBDA5A-4336-D204-1C2F-0A590368E47C}"/>
              </a:ext>
            </a:extLst>
          </xdr:cNvPr>
          <xdr:cNvSpPr>
            <a:spLocks noChangeArrowheads="1"/>
          </xdr:cNvSpPr>
        </xdr:nvSpPr>
        <xdr:spPr bwMode="auto">
          <a:xfrm>
            <a:off x="77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7" name="Oval 31">
            <a:extLst>
              <a:ext uri="{FF2B5EF4-FFF2-40B4-BE49-F238E27FC236}">
                <a16:creationId xmlns:a16="http://schemas.microsoft.com/office/drawing/2014/main" id="{DFB9DF6F-2EE6-9B1E-6135-DA6DF51E4BF1}"/>
              </a:ext>
            </a:extLst>
          </xdr:cNvPr>
          <xdr:cNvSpPr>
            <a:spLocks noChangeArrowheads="1"/>
          </xdr:cNvSpPr>
        </xdr:nvSpPr>
        <xdr:spPr bwMode="auto">
          <a:xfrm>
            <a:off x="79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Oval 32">
            <a:extLst>
              <a:ext uri="{FF2B5EF4-FFF2-40B4-BE49-F238E27FC236}">
                <a16:creationId xmlns:a16="http://schemas.microsoft.com/office/drawing/2014/main" id="{68E67AE6-B398-0BFE-FF2B-DFC7BC4AB4DD}"/>
              </a:ext>
            </a:extLst>
          </xdr:cNvPr>
          <xdr:cNvSpPr>
            <a:spLocks noChangeArrowheads="1"/>
          </xdr:cNvSpPr>
        </xdr:nvSpPr>
        <xdr:spPr bwMode="auto">
          <a:xfrm>
            <a:off x="81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9" name="Oval 33">
            <a:extLst>
              <a:ext uri="{FF2B5EF4-FFF2-40B4-BE49-F238E27FC236}">
                <a16:creationId xmlns:a16="http://schemas.microsoft.com/office/drawing/2014/main" id="{3C1D6DD3-A8D3-58D8-7BA4-5A1CCB59B414}"/>
              </a:ext>
            </a:extLst>
          </xdr:cNvPr>
          <xdr:cNvSpPr>
            <a:spLocks noChangeArrowheads="1"/>
          </xdr:cNvSpPr>
        </xdr:nvSpPr>
        <xdr:spPr bwMode="auto">
          <a:xfrm>
            <a:off x="83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0" name="Oval 34">
            <a:extLst>
              <a:ext uri="{FF2B5EF4-FFF2-40B4-BE49-F238E27FC236}">
                <a16:creationId xmlns:a16="http://schemas.microsoft.com/office/drawing/2014/main" id="{D9B48E86-AFD1-8201-BCE7-405E60BDA23E}"/>
              </a:ext>
            </a:extLst>
          </xdr:cNvPr>
          <xdr:cNvSpPr>
            <a:spLocks noChangeArrowheads="1"/>
          </xdr:cNvSpPr>
        </xdr:nvSpPr>
        <xdr:spPr bwMode="auto">
          <a:xfrm>
            <a:off x="86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1" name="Oval 35">
            <a:extLst>
              <a:ext uri="{FF2B5EF4-FFF2-40B4-BE49-F238E27FC236}">
                <a16:creationId xmlns:a16="http://schemas.microsoft.com/office/drawing/2014/main" id="{C19F2779-FECE-270F-2CDA-9619F92C055F}"/>
              </a:ext>
            </a:extLst>
          </xdr:cNvPr>
          <xdr:cNvSpPr>
            <a:spLocks noChangeArrowheads="1"/>
          </xdr:cNvSpPr>
        </xdr:nvSpPr>
        <xdr:spPr bwMode="auto">
          <a:xfrm>
            <a:off x="88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2" name="Oval 36">
            <a:extLst>
              <a:ext uri="{FF2B5EF4-FFF2-40B4-BE49-F238E27FC236}">
                <a16:creationId xmlns:a16="http://schemas.microsoft.com/office/drawing/2014/main" id="{1634599E-D294-56F1-5F62-7C729C73C1F9}"/>
              </a:ext>
            </a:extLst>
          </xdr:cNvPr>
          <xdr:cNvSpPr>
            <a:spLocks noChangeArrowheads="1"/>
          </xdr:cNvSpPr>
        </xdr:nvSpPr>
        <xdr:spPr bwMode="auto">
          <a:xfrm>
            <a:off x="90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3" name="Oval 37">
            <a:extLst>
              <a:ext uri="{FF2B5EF4-FFF2-40B4-BE49-F238E27FC236}">
                <a16:creationId xmlns:a16="http://schemas.microsoft.com/office/drawing/2014/main" id="{4385BE41-492E-C210-0E3A-8C0F969F8E33}"/>
              </a:ext>
            </a:extLst>
          </xdr:cNvPr>
          <xdr:cNvSpPr>
            <a:spLocks noChangeArrowheads="1"/>
          </xdr:cNvSpPr>
        </xdr:nvSpPr>
        <xdr:spPr bwMode="auto">
          <a:xfrm>
            <a:off x="92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 name="Oval 38">
            <a:extLst>
              <a:ext uri="{FF2B5EF4-FFF2-40B4-BE49-F238E27FC236}">
                <a16:creationId xmlns:a16="http://schemas.microsoft.com/office/drawing/2014/main" id="{5613A484-DBA1-E791-9EEB-314E7CE997C5}"/>
              </a:ext>
            </a:extLst>
          </xdr:cNvPr>
          <xdr:cNvSpPr>
            <a:spLocks noChangeArrowheads="1"/>
          </xdr:cNvSpPr>
        </xdr:nvSpPr>
        <xdr:spPr bwMode="auto">
          <a:xfrm>
            <a:off x="94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5" name="Oval 39">
            <a:extLst>
              <a:ext uri="{FF2B5EF4-FFF2-40B4-BE49-F238E27FC236}">
                <a16:creationId xmlns:a16="http://schemas.microsoft.com/office/drawing/2014/main" id="{B87B852B-882B-00E6-C21E-DF2DB1B0F503}"/>
              </a:ext>
            </a:extLst>
          </xdr:cNvPr>
          <xdr:cNvSpPr>
            <a:spLocks noChangeArrowheads="1"/>
          </xdr:cNvSpPr>
        </xdr:nvSpPr>
        <xdr:spPr bwMode="auto">
          <a:xfrm>
            <a:off x="96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6" name="Oval 40">
            <a:extLst>
              <a:ext uri="{FF2B5EF4-FFF2-40B4-BE49-F238E27FC236}">
                <a16:creationId xmlns:a16="http://schemas.microsoft.com/office/drawing/2014/main" id="{EDFAE125-F654-ECB7-6444-D54B1A2DADE6}"/>
              </a:ext>
            </a:extLst>
          </xdr:cNvPr>
          <xdr:cNvSpPr>
            <a:spLocks noChangeArrowheads="1"/>
          </xdr:cNvSpPr>
        </xdr:nvSpPr>
        <xdr:spPr bwMode="auto">
          <a:xfrm>
            <a:off x="98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7" name="Oval 41">
            <a:extLst>
              <a:ext uri="{FF2B5EF4-FFF2-40B4-BE49-F238E27FC236}">
                <a16:creationId xmlns:a16="http://schemas.microsoft.com/office/drawing/2014/main" id="{FACB8E57-5172-AB1F-5F93-9201E7DDAB74}"/>
              </a:ext>
            </a:extLst>
          </xdr:cNvPr>
          <xdr:cNvSpPr>
            <a:spLocks noChangeArrowheads="1"/>
          </xdr:cNvSpPr>
        </xdr:nvSpPr>
        <xdr:spPr bwMode="auto">
          <a:xfrm>
            <a:off x="100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8" name="Oval 42">
            <a:extLst>
              <a:ext uri="{FF2B5EF4-FFF2-40B4-BE49-F238E27FC236}">
                <a16:creationId xmlns:a16="http://schemas.microsoft.com/office/drawing/2014/main" id="{4AD05900-DB19-FC11-A7D9-06966B10349B}"/>
              </a:ext>
            </a:extLst>
          </xdr:cNvPr>
          <xdr:cNvSpPr>
            <a:spLocks noChangeArrowheads="1"/>
          </xdr:cNvSpPr>
        </xdr:nvSpPr>
        <xdr:spPr bwMode="auto">
          <a:xfrm>
            <a:off x="102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9" name="Oval 43">
            <a:extLst>
              <a:ext uri="{FF2B5EF4-FFF2-40B4-BE49-F238E27FC236}">
                <a16:creationId xmlns:a16="http://schemas.microsoft.com/office/drawing/2014/main" id="{578498C0-7D87-4D2F-CA5E-20C62F754452}"/>
              </a:ext>
            </a:extLst>
          </xdr:cNvPr>
          <xdr:cNvSpPr>
            <a:spLocks noChangeArrowheads="1"/>
          </xdr:cNvSpPr>
        </xdr:nvSpPr>
        <xdr:spPr bwMode="auto">
          <a:xfrm>
            <a:off x="104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0" name="Oval 44">
            <a:extLst>
              <a:ext uri="{FF2B5EF4-FFF2-40B4-BE49-F238E27FC236}">
                <a16:creationId xmlns:a16="http://schemas.microsoft.com/office/drawing/2014/main" id="{31EFD576-6BAD-93D1-D340-1F6AF8950CB6}"/>
              </a:ext>
            </a:extLst>
          </xdr:cNvPr>
          <xdr:cNvSpPr>
            <a:spLocks noChangeArrowheads="1"/>
          </xdr:cNvSpPr>
        </xdr:nvSpPr>
        <xdr:spPr bwMode="auto">
          <a:xfrm>
            <a:off x="107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1" name="Oval 45">
            <a:extLst>
              <a:ext uri="{FF2B5EF4-FFF2-40B4-BE49-F238E27FC236}">
                <a16:creationId xmlns:a16="http://schemas.microsoft.com/office/drawing/2014/main" id="{E33A90DC-873F-0803-2D01-F96C966E7AE8}"/>
              </a:ext>
            </a:extLst>
          </xdr:cNvPr>
          <xdr:cNvSpPr>
            <a:spLocks noChangeArrowheads="1"/>
          </xdr:cNvSpPr>
        </xdr:nvSpPr>
        <xdr:spPr bwMode="auto">
          <a:xfrm>
            <a:off x="109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Oval 46">
            <a:extLst>
              <a:ext uri="{FF2B5EF4-FFF2-40B4-BE49-F238E27FC236}">
                <a16:creationId xmlns:a16="http://schemas.microsoft.com/office/drawing/2014/main" id="{FD7C300C-23B4-E1F6-52DF-CB002F046FCC}"/>
              </a:ext>
            </a:extLst>
          </xdr:cNvPr>
          <xdr:cNvSpPr>
            <a:spLocks noChangeArrowheads="1"/>
          </xdr:cNvSpPr>
        </xdr:nvSpPr>
        <xdr:spPr bwMode="auto">
          <a:xfrm>
            <a:off x="111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3" name="Oval 47">
            <a:extLst>
              <a:ext uri="{FF2B5EF4-FFF2-40B4-BE49-F238E27FC236}">
                <a16:creationId xmlns:a16="http://schemas.microsoft.com/office/drawing/2014/main" id="{06966F05-84D6-6E2D-0A1A-DDF7259705B0}"/>
              </a:ext>
            </a:extLst>
          </xdr:cNvPr>
          <xdr:cNvSpPr>
            <a:spLocks noChangeArrowheads="1"/>
          </xdr:cNvSpPr>
        </xdr:nvSpPr>
        <xdr:spPr bwMode="auto">
          <a:xfrm>
            <a:off x="113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4" name="Oval 48">
            <a:extLst>
              <a:ext uri="{FF2B5EF4-FFF2-40B4-BE49-F238E27FC236}">
                <a16:creationId xmlns:a16="http://schemas.microsoft.com/office/drawing/2014/main" id="{BA30AED7-548F-4187-B3FC-0659F99BCCAC}"/>
              </a:ext>
            </a:extLst>
          </xdr:cNvPr>
          <xdr:cNvSpPr>
            <a:spLocks noChangeArrowheads="1"/>
          </xdr:cNvSpPr>
        </xdr:nvSpPr>
        <xdr:spPr bwMode="auto">
          <a:xfrm>
            <a:off x="115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5" name="Oval 49">
            <a:extLst>
              <a:ext uri="{FF2B5EF4-FFF2-40B4-BE49-F238E27FC236}">
                <a16:creationId xmlns:a16="http://schemas.microsoft.com/office/drawing/2014/main" id="{B2D06F0E-9E31-FC8F-6876-3A13855683A9}"/>
              </a:ext>
            </a:extLst>
          </xdr:cNvPr>
          <xdr:cNvSpPr>
            <a:spLocks noChangeArrowheads="1"/>
          </xdr:cNvSpPr>
        </xdr:nvSpPr>
        <xdr:spPr bwMode="auto">
          <a:xfrm>
            <a:off x="117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6" name="Oval 50">
            <a:extLst>
              <a:ext uri="{FF2B5EF4-FFF2-40B4-BE49-F238E27FC236}">
                <a16:creationId xmlns:a16="http://schemas.microsoft.com/office/drawing/2014/main" id="{93AD64EE-85EE-4626-42CD-1B8E6AD42749}"/>
              </a:ext>
            </a:extLst>
          </xdr:cNvPr>
          <xdr:cNvSpPr>
            <a:spLocks noChangeArrowheads="1"/>
          </xdr:cNvSpPr>
        </xdr:nvSpPr>
        <xdr:spPr bwMode="auto">
          <a:xfrm>
            <a:off x="119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7" name="Oval 51">
            <a:extLst>
              <a:ext uri="{FF2B5EF4-FFF2-40B4-BE49-F238E27FC236}">
                <a16:creationId xmlns:a16="http://schemas.microsoft.com/office/drawing/2014/main" id="{A5BA0FE2-87E1-E780-B86C-F0A8C7E68331}"/>
              </a:ext>
            </a:extLst>
          </xdr:cNvPr>
          <xdr:cNvSpPr>
            <a:spLocks noChangeArrowheads="1"/>
          </xdr:cNvSpPr>
        </xdr:nvSpPr>
        <xdr:spPr bwMode="auto">
          <a:xfrm>
            <a:off x="73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8" name="Oval 52">
            <a:extLst>
              <a:ext uri="{FF2B5EF4-FFF2-40B4-BE49-F238E27FC236}">
                <a16:creationId xmlns:a16="http://schemas.microsoft.com/office/drawing/2014/main" id="{A8811BF1-BC70-B882-4E74-8159B6AC2A7D}"/>
              </a:ext>
            </a:extLst>
          </xdr:cNvPr>
          <xdr:cNvSpPr>
            <a:spLocks noChangeArrowheads="1"/>
          </xdr:cNvSpPr>
        </xdr:nvSpPr>
        <xdr:spPr bwMode="auto">
          <a:xfrm>
            <a:off x="75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9" name="Oval 53">
            <a:extLst>
              <a:ext uri="{FF2B5EF4-FFF2-40B4-BE49-F238E27FC236}">
                <a16:creationId xmlns:a16="http://schemas.microsoft.com/office/drawing/2014/main" id="{6360B6B7-647D-85DD-AB9E-89221BB7C02C}"/>
              </a:ext>
            </a:extLst>
          </xdr:cNvPr>
          <xdr:cNvSpPr>
            <a:spLocks noChangeArrowheads="1"/>
          </xdr:cNvSpPr>
        </xdr:nvSpPr>
        <xdr:spPr bwMode="auto">
          <a:xfrm>
            <a:off x="77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0" name="Oval 54">
            <a:extLst>
              <a:ext uri="{FF2B5EF4-FFF2-40B4-BE49-F238E27FC236}">
                <a16:creationId xmlns:a16="http://schemas.microsoft.com/office/drawing/2014/main" id="{D6EE24E5-54BA-9509-CEC2-B4D19F25A7A8}"/>
              </a:ext>
            </a:extLst>
          </xdr:cNvPr>
          <xdr:cNvSpPr>
            <a:spLocks noChangeArrowheads="1"/>
          </xdr:cNvSpPr>
        </xdr:nvSpPr>
        <xdr:spPr bwMode="auto">
          <a:xfrm>
            <a:off x="79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1" name="Oval 55">
            <a:extLst>
              <a:ext uri="{FF2B5EF4-FFF2-40B4-BE49-F238E27FC236}">
                <a16:creationId xmlns:a16="http://schemas.microsoft.com/office/drawing/2014/main" id="{6ADA0B91-3E15-6FBD-B70F-27D5C5EC1EC9}"/>
              </a:ext>
            </a:extLst>
          </xdr:cNvPr>
          <xdr:cNvSpPr>
            <a:spLocks noChangeArrowheads="1"/>
          </xdr:cNvSpPr>
        </xdr:nvSpPr>
        <xdr:spPr bwMode="auto">
          <a:xfrm>
            <a:off x="81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2" name="Oval 56">
            <a:extLst>
              <a:ext uri="{FF2B5EF4-FFF2-40B4-BE49-F238E27FC236}">
                <a16:creationId xmlns:a16="http://schemas.microsoft.com/office/drawing/2014/main" id="{AC073721-5F4E-E724-A171-59F6743896D4}"/>
              </a:ext>
            </a:extLst>
          </xdr:cNvPr>
          <xdr:cNvSpPr>
            <a:spLocks noChangeArrowheads="1"/>
          </xdr:cNvSpPr>
        </xdr:nvSpPr>
        <xdr:spPr bwMode="auto">
          <a:xfrm>
            <a:off x="83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3" name="Oval 57">
            <a:extLst>
              <a:ext uri="{FF2B5EF4-FFF2-40B4-BE49-F238E27FC236}">
                <a16:creationId xmlns:a16="http://schemas.microsoft.com/office/drawing/2014/main" id="{076DF71B-2D27-6CBC-0C3D-AAC688829234}"/>
              </a:ext>
            </a:extLst>
          </xdr:cNvPr>
          <xdr:cNvSpPr>
            <a:spLocks noChangeArrowheads="1"/>
          </xdr:cNvSpPr>
        </xdr:nvSpPr>
        <xdr:spPr bwMode="auto">
          <a:xfrm>
            <a:off x="86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4" name="Oval 58">
            <a:extLst>
              <a:ext uri="{FF2B5EF4-FFF2-40B4-BE49-F238E27FC236}">
                <a16:creationId xmlns:a16="http://schemas.microsoft.com/office/drawing/2014/main" id="{6D9197E4-D0D9-894E-E594-6243DE61E942}"/>
              </a:ext>
            </a:extLst>
          </xdr:cNvPr>
          <xdr:cNvSpPr>
            <a:spLocks noChangeArrowheads="1"/>
          </xdr:cNvSpPr>
        </xdr:nvSpPr>
        <xdr:spPr bwMode="auto">
          <a:xfrm>
            <a:off x="88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5" name="Oval 59">
            <a:extLst>
              <a:ext uri="{FF2B5EF4-FFF2-40B4-BE49-F238E27FC236}">
                <a16:creationId xmlns:a16="http://schemas.microsoft.com/office/drawing/2014/main" id="{476F570B-C701-438C-0C22-F278DA821C36}"/>
              </a:ext>
            </a:extLst>
          </xdr:cNvPr>
          <xdr:cNvSpPr>
            <a:spLocks noChangeArrowheads="1"/>
          </xdr:cNvSpPr>
        </xdr:nvSpPr>
        <xdr:spPr bwMode="auto">
          <a:xfrm>
            <a:off x="90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6" name="Oval 60">
            <a:extLst>
              <a:ext uri="{FF2B5EF4-FFF2-40B4-BE49-F238E27FC236}">
                <a16:creationId xmlns:a16="http://schemas.microsoft.com/office/drawing/2014/main" id="{A58B22DC-A91F-48A6-91AB-60526AEA31B0}"/>
              </a:ext>
            </a:extLst>
          </xdr:cNvPr>
          <xdr:cNvSpPr>
            <a:spLocks noChangeArrowheads="1"/>
          </xdr:cNvSpPr>
        </xdr:nvSpPr>
        <xdr:spPr bwMode="auto">
          <a:xfrm>
            <a:off x="92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7" name="Oval 61">
            <a:extLst>
              <a:ext uri="{FF2B5EF4-FFF2-40B4-BE49-F238E27FC236}">
                <a16:creationId xmlns:a16="http://schemas.microsoft.com/office/drawing/2014/main" id="{271A59E3-184A-EE13-55B3-F344E5C5E21B}"/>
              </a:ext>
            </a:extLst>
          </xdr:cNvPr>
          <xdr:cNvSpPr>
            <a:spLocks noChangeArrowheads="1"/>
          </xdr:cNvSpPr>
        </xdr:nvSpPr>
        <xdr:spPr bwMode="auto">
          <a:xfrm>
            <a:off x="94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8" name="Oval 62">
            <a:extLst>
              <a:ext uri="{FF2B5EF4-FFF2-40B4-BE49-F238E27FC236}">
                <a16:creationId xmlns:a16="http://schemas.microsoft.com/office/drawing/2014/main" id="{7ED9F4FF-9071-D104-82CA-846F6324E7BF}"/>
              </a:ext>
            </a:extLst>
          </xdr:cNvPr>
          <xdr:cNvSpPr>
            <a:spLocks noChangeArrowheads="1"/>
          </xdr:cNvSpPr>
        </xdr:nvSpPr>
        <xdr:spPr bwMode="auto">
          <a:xfrm>
            <a:off x="96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9" name="Oval 63">
            <a:extLst>
              <a:ext uri="{FF2B5EF4-FFF2-40B4-BE49-F238E27FC236}">
                <a16:creationId xmlns:a16="http://schemas.microsoft.com/office/drawing/2014/main" id="{A7AF5881-333C-6F9C-7AE5-D8C05B77C537}"/>
              </a:ext>
            </a:extLst>
          </xdr:cNvPr>
          <xdr:cNvSpPr>
            <a:spLocks noChangeArrowheads="1"/>
          </xdr:cNvSpPr>
        </xdr:nvSpPr>
        <xdr:spPr bwMode="auto">
          <a:xfrm>
            <a:off x="98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0" name="Oval 64">
            <a:extLst>
              <a:ext uri="{FF2B5EF4-FFF2-40B4-BE49-F238E27FC236}">
                <a16:creationId xmlns:a16="http://schemas.microsoft.com/office/drawing/2014/main" id="{47D409E5-F12C-A306-D4A9-164F03BB74A0}"/>
              </a:ext>
            </a:extLst>
          </xdr:cNvPr>
          <xdr:cNvSpPr>
            <a:spLocks noChangeArrowheads="1"/>
          </xdr:cNvSpPr>
        </xdr:nvSpPr>
        <xdr:spPr bwMode="auto">
          <a:xfrm>
            <a:off x="100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1" name="Oval 65">
            <a:extLst>
              <a:ext uri="{FF2B5EF4-FFF2-40B4-BE49-F238E27FC236}">
                <a16:creationId xmlns:a16="http://schemas.microsoft.com/office/drawing/2014/main" id="{0B9BC463-D3E8-5A18-05B7-362680E9C08A}"/>
              </a:ext>
            </a:extLst>
          </xdr:cNvPr>
          <xdr:cNvSpPr>
            <a:spLocks noChangeArrowheads="1"/>
          </xdr:cNvSpPr>
        </xdr:nvSpPr>
        <xdr:spPr bwMode="auto">
          <a:xfrm>
            <a:off x="102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2" name="Oval 66">
            <a:extLst>
              <a:ext uri="{FF2B5EF4-FFF2-40B4-BE49-F238E27FC236}">
                <a16:creationId xmlns:a16="http://schemas.microsoft.com/office/drawing/2014/main" id="{8F23863D-C3BF-A04E-3427-BE7E51522F7E}"/>
              </a:ext>
            </a:extLst>
          </xdr:cNvPr>
          <xdr:cNvSpPr>
            <a:spLocks noChangeArrowheads="1"/>
          </xdr:cNvSpPr>
        </xdr:nvSpPr>
        <xdr:spPr bwMode="auto">
          <a:xfrm>
            <a:off x="104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3" name="Oval 67">
            <a:extLst>
              <a:ext uri="{FF2B5EF4-FFF2-40B4-BE49-F238E27FC236}">
                <a16:creationId xmlns:a16="http://schemas.microsoft.com/office/drawing/2014/main" id="{1C87960A-4515-08B8-D89C-F96D7BF3C66F}"/>
              </a:ext>
            </a:extLst>
          </xdr:cNvPr>
          <xdr:cNvSpPr>
            <a:spLocks noChangeArrowheads="1"/>
          </xdr:cNvSpPr>
        </xdr:nvSpPr>
        <xdr:spPr bwMode="auto">
          <a:xfrm>
            <a:off x="107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4" name="Oval 68">
            <a:extLst>
              <a:ext uri="{FF2B5EF4-FFF2-40B4-BE49-F238E27FC236}">
                <a16:creationId xmlns:a16="http://schemas.microsoft.com/office/drawing/2014/main" id="{D3501986-D7C5-3FDF-4AB7-BF820F127F55}"/>
              </a:ext>
            </a:extLst>
          </xdr:cNvPr>
          <xdr:cNvSpPr>
            <a:spLocks noChangeArrowheads="1"/>
          </xdr:cNvSpPr>
        </xdr:nvSpPr>
        <xdr:spPr bwMode="auto">
          <a:xfrm>
            <a:off x="109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5" name="Oval 69">
            <a:extLst>
              <a:ext uri="{FF2B5EF4-FFF2-40B4-BE49-F238E27FC236}">
                <a16:creationId xmlns:a16="http://schemas.microsoft.com/office/drawing/2014/main" id="{2B05018F-6629-F0E3-6F87-134E0A9D524A}"/>
              </a:ext>
            </a:extLst>
          </xdr:cNvPr>
          <xdr:cNvSpPr>
            <a:spLocks noChangeArrowheads="1"/>
          </xdr:cNvSpPr>
        </xdr:nvSpPr>
        <xdr:spPr bwMode="auto">
          <a:xfrm>
            <a:off x="111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6" name="Oval 70">
            <a:extLst>
              <a:ext uri="{FF2B5EF4-FFF2-40B4-BE49-F238E27FC236}">
                <a16:creationId xmlns:a16="http://schemas.microsoft.com/office/drawing/2014/main" id="{B0C2DFA9-33DD-456C-0384-3B5409A3D997}"/>
              </a:ext>
            </a:extLst>
          </xdr:cNvPr>
          <xdr:cNvSpPr>
            <a:spLocks noChangeArrowheads="1"/>
          </xdr:cNvSpPr>
        </xdr:nvSpPr>
        <xdr:spPr bwMode="auto">
          <a:xfrm>
            <a:off x="113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7" name="Oval 71">
            <a:extLst>
              <a:ext uri="{FF2B5EF4-FFF2-40B4-BE49-F238E27FC236}">
                <a16:creationId xmlns:a16="http://schemas.microsoft.com/office/drawing/2014/main" id="{76963C52-ECC7-D592-7BEC-0EB4F9B499EC}"/>
              </a:ext>
            </a:extLst>
          </xdr:cNvPr>
          <xdr:cNvSpPr>
            <a:spLocks noChangeArrowheads="1"/>
          </xdr:cNvSpPr>
        </xdr:nvSpPr>
        <xdr:spPr bwMode="auto">
          <a:xfrm>
            <a:off x="115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8" name="Oval 72">
            <a:extLst>
              <a:ext uri="{FF2B5EF4-FFF2-40B4-BE49-F238E27FC236}">
                <a16:creationId xmlns:a16="http://schemas.microsoft.com/office/drawing/2014/main" id="{8C91997C-9B37-F5E4-C164-77DFFE4B659E}"/>
              </a:ext>
            </a:extLst>
          </xdr:cNvPr>
          <xdr:cNvSpPr>
            <a:spLocks noChangeArrowheads="1"/>
          </xdr:cNvSpPr>
        </xdr:nvSpPr>
        <xdr:spPr bwMode="auto">
          <a:xfrm>
            <a:off x="117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9" name="Oval 73">
            <a:extLst>
              <a:ext uri="{FF2B5EF4-FFF2-40B4-BE49-F238E27FC236}">
                <a16:creationId xmlns:a16="http://schemas.microsoft.com/office/drawing/2014/main" id="{F34BC776-D305-490D-FB43-10302719A1DC}"/>
              </a:ext>
            </a:extLst>
          </xdr:cNvPr>
          <xdr:cNvSpPr>
            <a:spLocks noChangeArrowheads="1"/>
          </xdr:cNvSpPr>
        </xdr:nvSpPr>
        <xdr:spPr bwMode="auto">
          <a:xfrm>
            <a:off x="119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0" name="Line 74">
            <a:extLst>
              <a:ext uri="{FF2B5EF4-FFF2-40B4-BE49-F238E27FC236}">
                <a16:creationId xmlns:a16="http://schemas.microsoft.com/office/drawing/2014/main" id="{0A6B7C40-8711-D9FE-DFC0-332C14990D46}"/>
              </a:ext>
            </a:extLst>
          </xdr:cNvPr>
          <xdr:cNvSpPr>
            <a:spLocks noChangeShapeType="1"/>
          </xdr:cNvSpPr>
        </xdr:nvSpPr>
        <xdr:spPr bwMode="auto">
          <a:xfrm>
            <a:off x="727" y="1415"/>
            <a:ext cx="0" cy="3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75">
            <a:extLst>
              <a:ext uri="{FF2B5EF4-FFF2-40B4-BE49-F238E27FC236}">
                <a16:creationId xmlns:a16="http://schemas.microsoft.com/office/drawing/2014/main" id="{5710C8F8-259B-4849-691A-6588578B3ED2}"/>
              </a:ext>
            </a:extLst>
          </xdr:cNvPr>
          <xdr:cNvSpPr>
            <a:spLocks noChangeShapeType="1"/>
          </xdr:cNvSpPr>
        </xdr:nvSpPr>
        <xdr:spPr bwMode="auto">
          <a:xfrm flipV="1">
            <a:off x="727" y="1446"/>
            <a:ext cx="483" cy="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76">
            <a:extLst>
              <a:ext uri="{FF2B5EF4-FFF2-40B4-BE49-F238E27FC236}">
                <a16:creationId xmlns:a16="http://schemas.microsoft.com/office/drawing/2014/main" id="{AE5589D7-A1A7-AA19-DD7C-FC156A21D835}"/>
              </a:ext>
            </a:extLst>
          </xdr:cNvPr>
          <xdr:cNvSpPr>
            <a:spLocks noChangeShapeType="1"/>
          </xdr:cNvSpPr>
        </xdr:nvSpPr>
        <xdr:spPr bwMode="auto">
          <a:xfrm flipV="1">
            <a:off x="1210" y="1415"/>
            <a:ext cx="0" cy="3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77">
            <a:extLst>
              <a:ext uri="{FF2B5EF4-FFF2-40B4-BE49-F238E27FC236}">
                <a16:creationId xmlns:a16="http://schemas.microsoft.com/office/drawing/2014/main" id="{3AB90305-9633-AC05-B7D2-6035182AFAF5}"/>
              </a:ext>
            </a:extLst>
          </xdr:cNvPr>
          <xdr:cNvSpPr>
            <a:spLocks noChangeShapeType="1"/>
          </xdr:cNvSpPr>
        </xdr:nvSpPr>
        <xdr:spPr bwMode="auto">
          <a:xfrm>
            <a:off x="722" y="1408"/>
            <a:ext cx="491"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78">
            <a:extLst>
              <a:ext uri="{FF2B5EF4-FFF2-40B4-BE49-F238E27FC236}">
                <a16:creationId xmlns:a16="http://schemas.microsoft.com/office/drawing/2014/main" id="{83BEC874-F350-3BD0-353F-72E5A0F81CAD}"/>
              </a:ext>
            </a:extLst>
          </xdr:cNvPr>
          <xdr:cNvSpPr>
            <a:spLocks noChangeShapeType="1"/>
          </xdr:cNvSpPr>
        </xdr:nvSpPr>
        <xdr:spPr bwMode="auto">
          <a:xfrm>
            <a:off x="1214"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79">
            <a:extLst>
              <a:ext uri="{FF2B5EF4-FFF2-40B4-BE49-F238E27FC236}">
                <a16:creationId xmlns:a16="http://schemas.microsoft.com/office/drawing/2014/main" id="{3EFA3FDE-ACC2-3A66-BFC3-EE20F0548285}"/>
              </a:ext>
            </a:extLst>
          </xdr:cNvPr>
          <xdr:cNvSpPr>
            <a:spLocks noChangeShapeType="1"/>
          </xdr:cNvSpPr>
        </xdr:nvSpPr>
        <xdr:spPr bwMode="auto">
          <a:xfrm>
            <a:off x="722"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1036320</xdr:colOff>
      <xdr:row>51</xdr:row>
      <xdr:rowOff>144780</xdr:rowOff>
    </xdr:from>
    <xdr:to>
      <xdr:col>0</xdr:col>
      <xdr:colOff>1036320</xdr:colOff>
      <xdr:row>56</xdr:row>
      <xdr:rowOff>106680</xdr:rowOff>
    </xdr:to>
    <xdr:sp macro="" textlink="">
      <xdr:nvSpPr>
        <xdr:cNvPr id="56" name="Line 81">
          <a:extLst>
            <a:ext uri="{FF2B5EF4-FFF2-40B4-BE49-F238E27FC236}">
              <a16:creationId xmlns:a16="http://schemas.microsoft.com/office/drawing/2014/main" id="{BF16F1EC-1F17-4B57-8F31-29657E135F8E}"/>
            </a:ext>
          </a:extLst>
        </xdr:cNvPr>
        <xdr:cNvSpPr>
          <a:spLocks noChangeShapeType="1"/>
        </xdr:cNvSpPr>
      </xdr:nvSpPr>
      <xdr:spPr bwMode="auto">
        <a:xfrm>
          <a:off x="1036320" y="10416540"/>
          <a:ext cx="0" cy="9296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53</xdr:row>
      <xdr:rowOff>106680</xdr:rowOff>
    </xdr:from>
    <xdr:to>
      <xdr:col>0</xdr:col>
      <xdr:colOff>1036320</xdr:colOff>
      <xdr:row>56</xdr:row>
      <xdr:rowOff>114300</xdr:rowOff>
    </xdr:to>
    <xdr:sp macro="" textlink="">
      <xdr:nvSpPr>
        <xdr:cNvPr id="57" name="Line 82">
          <a:extLst>
            <a:ext uri="{FF2B5EF4-FFF2-40B4-BE49-F238E27FC236}">
              <a16:creationId xmlns:a16="http://schemas.microsoft.com/office/drawing/2014/main" id="{47C6E07F-7A7E-432C-B007-03BF9B26C79F}"/>
            </a:ext>
          </a:extLst>
        </xdr:cNvPr>
        <xdr:cNvSpPr>
          <a:spLocks noChangeShapeType="1"/>
        </xdr:cNvSpPr>
      </xdr:nvSpPr>
      <xdr:spPr bwMode="auto">
        <a:xfrm>
          <a:off x="1036320" y="10767060"/>
          <a:ext cx="0" cy="586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56</xdr:row>
      <xdr:rowOff>106680</xdr:rowOff>
    </xdr:from>
    <xdr:to>
      <xdr:col>2</xdr:col>
      <xdr:colOff>426720</xdr:colOff>
      <xdr:row>56</xdr:row>
      <xdr:rowOff>114300</xdr:rowOff>
    </xdr:to>
    <xdr:sp macro="" textlink="">
      <xdr:nvSpPr>
        <xdr:cNvPr id="58" name="Line 83">
          <a:extLst>
            <a:ext uri="{FF2B5EF4-FFF2-40B4-BE49-F238E27FC236}">
              <a16:creationId xmlns:a16="http://schemas.microsoft.com/office/drawing/2014/main" id="{A90383A0-5BE7-443D-9AFF-BD0BFD5806FF}"/>
            </a:ext>
          </a:extLst>
        </xdr:cNvPr>
        <xdr:cNvSpPr>
          <a:spLocks noChangeShapeType="1"/>
        </xdr:cNvSpPr>
      </xdr:nvSpPr>
      <xdr:spPr bwMode="auto">
        <a:xfrm>
          <a:off x="1036320" y="11346180"/>
          <a:ext cx="97536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121920</xdr:colOff>
      <xdr:row>53</xdr:row>
      <xdr:rowOff>30480</xdr:rowOff>
    </xdr:from>
    <xdr:to>
      <xdr:col>5</xdr:col>
      <xdr:colOff>274320</xdr:colOff>
      <xdr:row>55</xdr:row>
      <xdr:rowOff>182880</xdr:rowOff>
    </xdr:to>
    <xdr:sp macro="" textlink="">
      <xdr:nvSpPr>
        <xdr:cNvPr id="59" name="Line 85">
          <a:extLst>
            <a:ext uri="{FF2B5EF4-FFF2-40B4-BE49-F238E27FC236}">
              <a16:creationId xmlns:a16="http://schemas.microsoft.com/office/drawing/2014/main" id="{ABA2B155-0849-4EE1-B960-C52755EE9392}"/>
            </a:ext>
          </a:extLst>
        </xdr:cNvPr>
        <xdr:cNvSpPr>
          <a:spLocks noChangeShapeType="1"/>
        </xdr:cNvSpPr>
      </xdr:nvSpPr>
      <xdr:spPr bwMode="auto">
        <a:xfrm>
          <a:off x="3345180" y="10690860"/>
          <a:ext cx="152400" cy="5410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274320</xdr:colOff>
      <xdr:row>53</xdr:row>
      <xdr:rowOff>15240</xdr:rowOff>
    </xdr:from>
    <xdr:to>
      <xdr:col>5</xdr:col>
      <xdr:colOff>320040</xdr:colOff>
      <xdr:row>56</xdr:row>
      <xdr:rowOff>0</xdr:rowOff>
    </xdr:to>
    <xdr:sp macro="" textlink="">
      <xdr:nvSpPr>
        <xdr:cNvPr id="60" name="Line 86">
          <a:extLst>
            <a:ext uri="{FF2B5EF4-FFF2-40B4-BE49-F238E27FC236}">
              <a16:creationId xmlns:a16="http://schemas.microsoft.com/office/drawing/2014/main" id="{84D1DEF3-D571-44DA-AF68-ADB9AC2D6B16}"/>
            </a:ext>
          </a:extLst>
        </xdr:cNvPr>
        <xdr:cNvSpPr>
          <a:spLocks noChangeShapeType="1"/>
        </xdr:cNvSpPr>
      </xdr:nvSpPr>
      <xdr:spPr bwMode="auto">
        <a:xfrm flipH="1">
          <a:off x="3497580" y="10675620"/>
          <a:ext cx="45720" cy="5638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50</xdr:row>
      <xdr:rowOff>15240</xdr:rowOff>
    </xdr:from>
    <xdr:to>
      <xdr:col>5</xdr:col>
      <xdr:colOff>243840</xdr:colOff>
      <xdr:row>52</xdr:row>
      <xdr:rowOff>30480</xdr:rowOff>
    </xdr:to>
    <xdr:sp macro="" textlink="">
      <xdr:nvSpPr>
        <xdr:cNvPr id="61" name="Line 87">
          <a:extLst>
            <a:ext uri="{FF2B5EF4-FFF2-40B4-BE49-F238E27FC236}">
              <a16:creationId xmlns:a16="http://schemas.microsoft.com/office/drawing/2014/main" id="{5BF3DE6E-7CED-4B20-892C-773CCF1F3065}"/>
            </a:ext>
          </a:extLst>
        </xdr:cNvPr>
        <xdr:cNvSpPr>
          <a:spLocks noChangeShapeType="1"/>
        </xdr:cNvSpPr>
      </xdr:nvSpPr>
      <xdr:spPr bwMode="auto">
        <a:xfrm flipV="1">
          <a:off x="3337560" y="10096500"/>
          <a:ext cx="12954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243840</xdr:colOff>
      <xdr:row>50</xdr:row>
      <xdr:rowOff>7620</xdr:rowOff>
    </xdr:from>
    <xdr:to>
      <xdr:col>5</xdr:col>
      <xdr:colOff>289560</xdr:colOff>
      <xdr:row>52</xdr:row>
      <xdr:rowOff>30480</xdr:rowOff>
    </xdr:to>
    <xdr:sp macro="" textlink="">
      <xdr:nvSpPr>
        <xdr:cNvPr id="62" name="Line 88">
          <a:extLst>
            <a:ext uri="{FF2B5EF4-FFF2-40B4-BE49-F238E27FC236}">
              <a16:creationId xmlns:a16="http://schemas.microsoft.com/office/drawing/2014/main" id="{FBAD84CB-BAAF-43AB-8E8D-4AA593E6810C}"/>
            </a:ext>
          </a:extLst>
        </xdr:cNvPr>
        <xdr:cNvSpPr>
          <a:spLocks noChangeShapeType="1"/>
        </xdr:cNvSpPr>
      </xdr:nvSpPr>
      <xdr:spPr bwMode="auto">
        <a:xfrm flipH="1" flipV="1">
          <a:off x="3467100" y="10088880"/>
          <a:ext cx="45720" cy="4038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54</xdr:row>
      <xdr:rowOff>106680</xdr:rowOff>
    </xdr:from>
    <xdr:to>
      <xdr:col>0</xdr:col>
      <xdr:colOff>373380</xdr:colOff>
      <xdr:row>55</xdr:row>
      <xdr:rowOff>106680</xdr:rowOff>
    </xdr:to>
    <xdr:sp macro="" textlink="">
      <xdr:nvSpPr>
        <xdr:cNvPr id="63" name="Line 89">
          <a:extLst>
            <a:ext uri="{FF2B5EF4-FFF2-40B4-BE49-F238E27FC236}">
              <a16:creationId xmlns:a16="http://schemas.microsoft.com/office/drawing/2014/main" id="{4F72B067-9B85-4204-A435-E6855707F20E}"/>
            </a:ext>
          </a:extLst>
        </xdr:cNvPr>
        <xdr:cNvSpPr>
          <a:spLocks noChangeShapeType="1"/>
        </xdr:cNvSpPr>
      </xdr:nvSpPr>
      <xdr:spPr bwMode="auto">
        <a:xfrm>
          <a:off x="373380" y="10957560"/>
          <a:ext cx="0" cy="1981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68580</xdr:colOff>
      <xdr:row>54</xdr:row>
      <xdr:rowOff>106680</xdr:rowOff>
    </xdr:from>
    <xdr:to>
      <xdr:col>8</xdr:col>
      <xdr:colOff>68580</xdr:colOff>
      <xdr:row>55</xdr:row>
      <xdr:rowOff>99060</xdr:rowOff>
    </xdr:to>
    <xdr:sp macro="" textlink="">
      <xdr:nvSpPr>
        <xdr:cNvPr id="64" name="Line 91">
          <a:extLst>
            <a:ext uri="{FF2B5EF4-FFF2-40B4-BE49-F238E27FC236}">
              <a16:creationId xmlns:a16="http://schemas.microsoft.com/office/drawing/2014/main" id="{726D5B26-E3AE-4A17-805B-F7593A835D2C}"/>
            </a:ext>
          </a:extLst>
        </xdr:cNvPr>
        <xdr:cNvSpPr>
          <a:spLocks noChangeShapeType="1"/>
        </xdr:cNvSpPr>
      </xdr:nvSpPr>
      <xdr:spPr bwMode="auto">
        <a:xfrm>
          <a:off x="4869180" y="1095756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55</xdr:row>
      <xdr:rowOff>30480</xdr:rowOff>
    </xdr:from>
    <xdr:to>
      <xdr:col>8</xdr:col>
      <xdr:colOff>76200</xdr:colOff>
      <xdr:row>55</xdr:row>
      <xdr:rowOff>38100</xdr:rowOff>
    </xdr:to>
    <xdr:sp macro="" textlink="">
      <xdr:nvSpPr>
        <xdr:cNvPr id="65" name="Line 93">
          <a:extLst>
            <a:ext uri="{FF2B5EF4-FFF2-40B4-BE49-F238E27FC236}">
              <a16:creationId xmlns:a16="http://schemas.microsoft.com/office/drawing/2014/main" id="{3C8F6FDC-097F-41EC-8122-E84409A5CC57}"/>
            </a:ext>
          </a:extLst>
        </xdr:cNvPr>
        <xdr:cNvSpPr>
          <a:spLocks noChangeShapeType="1"/>
        </xdr:cNvSpPr>
      </xdr:nvSpPr>
      <xdr:spPr bwMode="auto">
        <a:xfrm>
          <a:off x="373380" y="11079480"/>
          <a:ext cx="450342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152400</xdr:colOff>
      <xdr:row>50</xdr:row>
      <xdr:rowOff>182880</xdr:rowOff>
    </xdr:from>
    <xdr:to>
      <xdr:col>8</xdr:col>
      <xdr:colOff>289560</xdr:colOff>
      <xdr:row>50</xdr:row>
      <xdr:rowOff>182880</xdr:rowOff>
    </xdr:to>
    <xdr:sp macro="" textlink="">
      <xdr:nvSpPr>
        <xdr:cNvPr id="66" name="Line 94">
          <a:extLst>
            <a:ext uri="{FF2B5EF4-FFF2-40B4-BE49-F238E27FC236}">
              <a16:creationId xmlns:a16="http://schemas.microsoft.com/office/drawing/2014/main" id="{132CDBD5-98EA-418C-A0AA-EC52D9475338}"/>
            </a:ext>
          </a:extLst>
        </xdr:cNvPr>
        <xdr:cNvSpPr>
          <a:spLocks noChangeShapeType="1"/>
        </xdr:cNvSpPr>
      </xdr:nvSpPr>
      <xdr:spPr bwMode="auto">
        <a:xfrm>
          <a:off x="4953000" y="1026414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152400</xdr:colOff>
      <xdr:row>54</xdr:row>
      <xdr:rowOff>22860</xdr:rowOff>
    </xdr:from>
    <xdr:to>
      <xdr:col>8</xdr:col>
      <xdr:colOff>304800</xdr:colOff>
      <xdr:row>54</xdr:row>
      <xdr:rowOff>22860</xdr:rowOff>
    </xdr:to>
    <xdr:sp macro="" textlink="">
      <xdr:nvSpPr>
        <xdr:cNvPr id="67" name="Line 95">
          <a:extLst>
            <a:ext uri="{FF2B5EF4-FFF2-40B4-BE49-F238E27FC236}">
              <a16:creationId xmlns:a16="http://schemas.microsoft.com/office/drawing/2014/main" id="{6C2E1D83-5C6A-451E-A8CD-81C517D71D9F}"/>
            </a:ext>
          </a:extLst>
        </xdr:cNvPr>
        <xdr:cNvSpPr>
          <a:spLocks noChangeShapeType="1"/>
        </xdr:cNvSpPr>
      </xdr:nvSpPr>
      <xdr:spPr bwMode="auto">
        <a:xfrm>
          <a:off x="4953000" y="10873740"/>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213360</xdr:colOff>
      <xdr:row>50</xdr:row>
      <xdr:rowOff>182880</xdr:rowOff>
    </xdr:from>
    <xdr:to>
      <xdr:col>8</xdr:col>
      <xdr:colOff>213360</xdr:colOff>
      <xdr:row>54</xdr:row>
      <xdr:rowOff>22860</xdr:rowOff>
    </xdr:to>
    <xdr:sp macro="" textlink="">
      <xdr:nvSpPr>
        <xdr:cNvPr id="68" name="Line 96">
          <a:extLst>
            <a:ext uri="{FF2B5EF4-FFF2-40B4-BE49-F238E27FC236}">
              <a16:creationId xmlns:a16="http://schemas.microsoft.com/office/drawing/2014/main" id="{709C0B9F-FA82-4F3D-BFBA-6C8285EBBCA5}"/>
            </a:ext>
          </a:extLst>
        </xdr:cNvPr>
        <xdr:cNvSpPr>
          <a:spLocks noChangeShapeType="1"/>
        </xdr:cNvSpPr>
      </xdr:nvSpPr>
      <xdr:spPr bwMode="auto">
        <a:xfrm>
          <a:off x="5013960" y="10264140"/>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editAs="absolute">
    <xdr:from>
      <xdr:col>9</xdr:col>
      <xdr:colOff>614531</xdr:colOff>
      <xdr:row>3</xdr:row>
      <xdr:rowOff>259976</xdr:rowOff>
    </xdr:from>
    <xdr:to>
      <xdr:col>16</xdr:col>
      <xdr:colOff>617668</xdr:colOff>
      <xdr:row>5</xdr:row>
      <xdr:rowOff>64994</xdr:rowOff>
    </xdr:to>
    <xdr:sp macro="UpdateSectionB78" textlink="">
      <xdr:nvSpPr>
        <xdr:cNvPr id="71" name="slabUpdate84">
          <a:extLst>
            <a:ext uri="{FF2B5EF4-FFF2-40B4-BE49-F238E27FC236}">
              <a16:creationId xmlns:a16="http://schemas.microsoft.com/office/drawing/2014/main" id="{42762BAA-5BD4-B03C-E545-22E0256DA9B0}"/>
            </a:ext>
          </a:extLst>
        </xdr:cNvPr>
        <xdr:cNvSpPr/>
      </xdr:nvSpPr>
      <xdr:spPr>
        <a:xfrm>
          <a:off x="6880860" y="10668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SlabAuto84" textlink="">
      <xdr:nvSpPr>
        <xdr:cNvPr id="72" name="slabAuto84">
          <a:extLst>
            <a:ext uri="{FF2B5EF4-FFF2-40B4-BE49-F238E27FC236}">
              <a16:creationId xmlns:a16="http://schemas.microsoft.com/office/drawing/2014/main" id="{243D6F95-947A-556A-9384-5B4620584E6E}"/>
            </a:ext>
          </a:extLst>
        </xdr:cNvPr>
        <xdr:cNvSpPr/>
      </xdr:nvSpPr>
      <xdr:spPr>
        <a:xfrm>
          <a:off x="6880860" y="16002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SlabInputs69" textlink="">
      <xdr:nvSpPr>
        <xdr:cNvPr id="73" name="slabInput84">
          <a:extLst>
            <a:ext uri="{FF2B5EF4-FFF2-40B4-BE49-F238E27FC236}">
              <a16:creationId xmlns:a16="http://schemas.microsoft.com/office/drawing/2014/main" id="{9393EE0B-A856-B5FA-9FAD-ED32FB9A7E33}"/>
            </a:ext>
          </a:extLst>
        </xdr:cNvPr>
        <xdr:cNvSpPr/>
      </xdr:nvSpPr>
      <xdr:spPr>
        <a:xfrm>
          <a:off x="6880860" y="21336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614531</xdr:colOff>
      <xdr:row>3</xdr:row>
      <xdr:rowOff>259976</xdr:rowOff>
    </xdr:from>
    <xdr:to>
      <xdr:col>16</xdr:col>
      <xdr:colOff>617668</xdr:colOff>
      <xdr:row>5</xdr:row>
      <xdr:rowOff>64994</xdr:rowOff>
    </xdr:to>
    <xdr:sp macro="UpdateCS101" textlink="">
      <xdr:nvSpPr>
        <xdr:cNvPr id="69" name="slabUpdate84">
          <a:extLst>
            <a:ext uri="{FF2B5EF4-FFF2-40B4-BE49-F238E27FC236}">
              <a16:creationId xmlns:a16="http://schemas.microsoft.com/office/drawing/2014/main" id="{54D8F0A6-B854-485E-B121-EAA1FEC02EA0}"/>
            </a:ext>
          </a:extLst>
        </xdr:cNvPr>
        <xdr:cNvSpPr/>
      </xdr:nvSpPr>
      <xdr:spPr>
        <a:xfrm>
          <a:off x="6870551" y="1060076"/>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AutoRestoreCS101" textlink="">
      <xdr:nvSpPr>
        <xdr:cNvPr id="70" name="slabAuto84">
          <a:extLst>
            <a:ext uri="{FF2B5EF4-FFF2-40B4-BE49-F238E27FC236}">
              <a16:creationId xmlns:a16="http://schemas.microsoft.com/office/drawing/2014/main" id="{5BA7092B-4448-4256-9413-F7E244C6D300}"/>
            </a:ext>
          </a:extLst>
        </xdr:cNvPr>
        <xdr:cNvSpPr/>
      </xdr:nvSpPr>
      <xdr:spPr>
        <a:xfrm>
          <a:off x="6870551" y="1588994"/>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ManualPage99" textlink="">
      <xdr:nvSpPr>
        <xdr:cNvPr id="71" name="slabInput84">
          <a:extLst>
            <a:ext uri="{FF2B5EF4-FFF2-40B4-BE49-F238E27FC236}">
              <a16:creationId xmlns:a16="http://schemas.microsoft.com/office/drawing/2014/main" id="{BE484AE0-443C-487F-8123-E64E85E32E7C}"/>
            </a:ext>
          </a:extLst>
        </xdr:cNvPr>
        <xdr:cNvSpPr/>
      </xdr:nvSpPr>
      <xdr:spPr>
        <a:xfrm>
          <a:off x="6870551" y="2117912"/>
          <a:ext cx="6342977" cy="338417"/>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twoCellAnchor>
    <xdr:from>
      <xdr:col>0</xdr:col>
      <xdr:colOff>1386840</xdr:colOff>
      <xdr:row>49</xdr:row>
      <xdr:rowOff>69427</xdr:rowOff>
    </xdr:from>
    <xdr:to>
      <xdr:col>8</xdr:col>
      <xdr:colOff>0</xdr:colOff>
      <xdr:row>53</xdr:row>
      <xdr:rowOff>55880</xdr:rowOff>
    </xdr:to>
    <xdr:sp macro="" textlink="">
      <xdr:nvSpPr>
        <xdr:cNvPr id="72" name="cs101_section">
          <a:extLst>
            <a:ext uri="{FF2B5EF4-FFF2-40B4-BE49-F238E27FC236}">
              <a16:creationId xmlns:a16="http://schemas.microsoft.com/office/drawing/2014/main" id="{0003258D-0581-7CBB-199D-1D47024E1512}"/>
            </a:ext>
          </a:extLst>
        </xdr:cNvPr>
        <xdr:cNvSpPr/>
      </xdr:nvSpPr>
      <xdr:spPr>
        <a:xfrm>
          <a:off x="1386840" y="12862560"/>
          <a:ext cx="3489960" cy="1112520"/>
        </a:xfrm>
        <a:prstGeom prst="rect">
          <a:avLst/>
        </a:prstGeom>
        <a:noFill/>
        <a:ln w="19050">
          <a:solidFill>
            <a:srgbClr val="000000"/>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1234440</xdr:colOff>
      <xdr:row>48</xdr:row>
      <xdr:rowOff>238760</xdr:rowOff>
    </xdr:from>
    <xdr:to>
      <xdr:col>0</xdr:col>
      <xdr:colOff>1386840</xdr:colOff>
      <xdr:row>53</xdr:row>
      <xdr:rowOff>157480</xdr:rowOff>
    </xdr:to>
    <xdr:sp macro="" textlink="">
      <xdr:nvSpPr>
        <xdr:cNvPr id="73" name="cs101_fixed">
          <a:extLst>
            <a:ext uri="{FF2B5EF4-FFF2-40B4-BE49-F238E27FC236}">
              <a16:creationId xmlns:a16="http://schemas.microsoft.com/office/drawing/2014/main" id="{2163210F-FD2A-ABB4-455C-79CE579157FE}"/>
            </a:ext>
          </a:extLst>
        </xdr:cNvPr>
        <xdr:cNvSpPr/>
      </xdr:nvSpPr>
      <xdr:spPr>
        <a:xfrm>
          <a:off x="1234440" y="12760960"/>
          <a:ext cx="152400" cy="1315720"/>
        </a:xfrm>
        <a:prstGeom prst="rect">
          <a:avLst/>
        </a:prstGeom>
        <a:solidFill>
          <a:srgbClr val="DDDDDD"/>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49107</xdr:colOff>
      <xdr:row>49</xdr:row>
      <xdr:rowOff>183727</xdr:rowOff>
    </xdr:from>
    <xdr:to>
      <xdr:col>7</xdr:col>
      <xdr:colOff>406400</xdr:colOff>
      <xdr:row>49</xdr:row>
      <xdr:rowOff>183727</xdr:rowOff>
    </xdr:to>
    <xdr:cxnSp macro="">
      <xdr:nvCxnSpPr>
        <xdr:cNvPr id="74" name="cs101_topsteel">
          <a:extLst>
            <a:ext uri="{FF2B5EF4-FFF2-40B4-BE49-F238E27FC236}">
              <a16:creationId xmlns:a16="http://schemas.microsoft.com/office/drawing/2014/main" id="{CB232FEF-68B0-6C38-1085-23EBBD812191}"/>
            </a:ext>
          </a:extLst>
        </xdr:cNvPr>
        <xdr:cNvCxnSpPr/>
      </xdr:nvCxnSpPr>
      <xdr:spPr>
        <a:xfrm>
          <a:off x="1437640" y="12976860"/>
          <a:ext cx="3312160" cy="0"/>
        </a:xfrm>
        <a:prstGeom prst="line">
          <a:avLst/>
        </a:prstGeom>
        <a:ln w="25400">
          <a:solidFill>
            <a:srgbClr val="AA502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9971882D-CFA5-4DE2-BBF9-59F50B845530}"/>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1EE1515E-60DF-4993-84A1-A9F742A93420}"/>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BACC11D9-E3E5-65A6-DCD0-E329059FC767}"/>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SecondaryInputs69" textlink="">
      <xdr:nvSpPr>
        <xdr:cNvPr id="7" name="inputs84">
          <a:extLst>
            <a:ext uri="{FF2B5EF4-FFF2-40B4-BE49-F238E27FC236}">
              <a16:creationId xmlns:a16="http://schemas.microsoft.com/office/drawing/2014/main" id="{1DE088B6-5CDF-3090-3A74-436B7A66E1CD}"/>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SecondaryAuto78" textlink="">
      <xdr:nvSpPr>
        <xdr:cNvPr id="8" name="auto84">
          <a:extLst>
            <a:ext uri="{FF2B5EF4-FFF2-40B4-BE49-F238E27FC236}">
              <a16:creationId xmlns:a16="http://schemas.microsoft.com/office/drawing/2014/main" id="{1E1144A9-7F9E-16D9-33C7-065C8238FB90}"/>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5" name="sb72_label_1">
          <a:extLst>
            <a:ext uri="{FF2B5EF4-FFF2-40B4-BE49-F238E27FC236}">
              <a16:creationId xmlns:a16="http://schemas.microsoft.com/office/drawing/2014/main" id="{44658346-08E9-0393-2377-EE5E8FA4FF01}"/>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A5C53BAD-8493-4B44-8003-353EBB96B60C}"/>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06027642-5438-43EE-B55F-C2911138EB5C}"/>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3205ED13-3FFA-1E02-72F9-60FEAB361FB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inInputs69" textlink="">
      <xdr:nvSpPr>
        <xdr:cNvPr id="8" name="inputs84">
          <a:extLst>
            <a:ext uri="{FF2B5EF4-FFF2-40B4-BE49-F238E27FC236}">
              <a16:creationId xmlns:a16="http://schemas.microsoft.com/office/drawing/2014/main" id="{7E596FA7-E56B-69FB-8B4D-F247B2D51658}"/>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MainAuto78" textlink="">
      <xdr:nvSpPr>
        <xdr:cNvPr id="10" name="auto84">
          <a:extLst>
            <a:ext uri="{FF2B5EF4-FFF2-40B4-BE49-F238E27FC236}">
              <a16:creationId xmlns:a16="http://schemas.microsoft.com/office/drawing/2014/main" id="{79E27D4A-6ED3-8C27-2052-8F238697668C}"/>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7" name="mb72_label_1">
          <a:extLst>
            <a:ext uri="{FF2B5EF4-FFF2-40B4-BE49-F238E27FC236}">
              <a16:creationId xmlns:a16="http://schemas.microsoft.com/office/drawing/2014/main" id="{E939CE3E-B884-CF93-F5D5-C581E0B4981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86B001E6-41EE-4E2A-9CA4-78E532640564}"/>
            </a:ext>
          </a:extLst>
        </xdr:cNvPr>
        <xdr:cNvSpPr>
          <a:spLocks/>
        </xdr:cNvSpPr>
      </xdr:nvSpPr>
      <xdr:spPr bwMode="auto">
        <a:xfrm>
          <a:off x="5212080" y="7018020"/>
          <a:ext cx="1074420" cy="2133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5D9CE729-B5BE-40FA-9926-B7885944D622}"/>
            </a:ext>
          </a:extLst>
        </xdr:cNvPr>
        <xdr:cNvSpPr>
          <a:spLocks/>
        </xdr:cNvSpPr>
      </xdr:nvSpPr>
      <xdr:spPr bwMode="auto">
        <a:xfrm>
          <a:off x="7292340" y="11285220"/>
          <a:ext cx="297180" cy="23622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CB99" textlink="">
      <xdr:nvSpPr>
        <xdr:cNvPr id="4" name="update84">
          <a:extLst>
            <a:ext uri="{FF2B5EF4-FFF2-40B4-BE49-F238E27FC236}">
              <a16:creationId xmlns:a16="http://schemas.microsoft.com/office/drawing/2014/main" id="{6EA88792-87F8-40EC-A9CB-2A0F8A4534E9}"/>
            </a:ext>
          </a:extLst>
        </xdr:cNvPr>
        <xdr:cNvSpPr/>
      </xdr:nvSpPr>
      <xdr:spPr>
        <a:xfrm>
          <a:off x="205740"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nualPage99" textlink="">
      <xdr:nvSpPr>
        <xdr:cNvPr id="5" name="inputs84">
          <a:extLst>
            <a:ext uri="{FF2B5EF4-FFF2-40B4-BE49-F238E27FC236}">
              <a16:creationId xmlns:a16="http://schemas.microsoft.com/office/drawing/2014/main" id="{3EB3EA69-EAB4-4105-A766-63FF1DDBAF7C}"/>
            </a:ext>
          </a:extLst>
        </xdr:cNvPr>
        <xdr:cNvSpPr/>
      </xdr:nvSpPr>
      <xdr:spPr>
        <a:xfrm>
          <a:off x="3646593"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CB99" textlink="">
      <xdr:nvSpPr>
        <xdr:cNvPr id="6" name="auto84">
          <a:extLst>
            <a:ext uri="{FF2B5EF4-FFF2-40B4-BE49-F238E27FC236}">
              <a16:creationId xmlns:a16="http://schemas.microsoft.com/office/drawing/2014/main" id="{17B85B5A-B1B3-4F8A-8BB3-2220B44091F4}"/>
            </a:ext>
          </a:extLst>
        </xdr:cNvPr>
        <xdr:cNvSpPr/>
      </xdr:nvSpPr>
      <xdr:spPr>
        <a:xfrm>
          <a:off x="7087447"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13342E17-5BF5-44FC-9A40-80D1E4016836}"/>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F5D43ACB-183B-41B0-98A8-91635B0A5681}"/>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Transfer79" textlink="">
      <xdr:nvSpPr>
        <xdr:cNvPr id="4" name="update84">
          <a:extLst>
            <a:ext uri="{FF2B5EF4-FFF2-40B4-BE49-F238E27FC236}">
              <a16:creationId xmlns:a16="http://schemas.microsoft.com/office/drawing/2014/main" id="{BB3131B7-47B4-CEB7-2BEB-132E0C8FCEF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TransferInputs79" textlink="">
      <xdr:nvSpPr>
        <xdr:cNvPr id="10" name="inputs84">
          <a:extLst>
            <a:ext uri="{FF2B5EF4-FFF2-40B4-BE49-F238E27FC236}">
              <a16:creationId xmlns:a16="http://schemas.microsoft.com/office/drawing/2014/main" id="{95AD8790-165D-64CE-768A-97766193AC21}"/>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Transfer79" textlink="">
      <xdr:nvSpPr>
        <xdr:cNvPr id="12" name="auto84">
          <a:extLst>
            <a:ext uri="{FF2B5EF4-FFF2-40B4-BE49-F238E27FC236}">
              <a16:creationId xmlns:a16="http://schemas.microsoft.com/office/drawing/2014/main" id="{F021D1CB-5F4B-471E-F170-02E8D41D12F2}"/>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6" name="tb24_label_1">
          <a:extLst>
            <a:ext uri="{FF2B5EF4-FFF2-40B4-BE49-F238E27FC236}">
              <a16:creationId xmlns:a16="http://schemas.microsoft.com/office/drawing/2014/main" id="{17E47DA0-21A1-2590-5CA4-E867C0FD07F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10</xdr:row>
      <xdr:rowOff>44873</xdr:rowOff>
    </xdr:from>
    <xdr:to>
      <xdr:col>2</xdr:col>
      <xdr:colOff>1452499</xdr:colOff>
      <xdr:row>10</xdr:row>
      <xdr:rowOff>375073</xdr:rowOff>
    </xdr:to>
    <xdr:sp macro="RestoreColumnAuto86" textlink="">
      <xdr:nvSpPr>
        <xdr:cNvPr id="2" name="column_auto86">
          <a:extLst>
            <a:ext uri="{FF2B5EF4-FFF2-40B4-BE49-F238E27FC236}">
              <a16:creationId xmlns:a16="http://schemas.microsoft.com/office/drawing/2014/main" id="{1CD0AF53-8F2A-F20D-50DB-34E12500FD47}"/>
            </a:ext>
          </a:extLst>
        </xdr:cNvPr>
        <xdr:cNvSpPr/>
      </xdr:nvSpPr>
      <xdr:spPr>
        <a:xfrm>
          <a:off x="0" y="3558540"/>
          <a:ext cx="4602099" cy="330200"/>
        </a:xfrm>
        <a:prstGeom prst="roundRect">
          <a:avLst/>
        </a:prstGeom>
        <a:solidFill>
          <a:srgbClr val="205E75"/>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rgbClr val="FFFFFF"/>
              </a:solidFill>
            </a:rPr>
            <a:t>Restore Auto - column main bars</a:t>
          </a:r>
          <a:endParaRPr lang="zh-CN" altLang="en-US" sz="11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213360</xdr:rowOff>
        </xdr:from>
        <xdr:to>
          <xdr:col>11</xdr:col>
          <xdr:colOff>297180</xdr:colOff>
          <xdr:row>2</xdr:row>
          <xdr:rowOff>144780</xdr:rowOff>
        </xdr:to>
        <xdr:sp macro="" textlink="">
          <xdr:nvSpPr>
            <xdr:cNvPr id="4098" name="btnUpdateSectionB" hidden="1">
              <a:extLst>
                <a:ext uri="{63B3BB69-23CF-44E3-9099-C40C66FF867C}">
                  <a14:compatExt spid="_x0000_s4098"/>
                </a:ext>
                <a:ext uri="{FF2B5EF4-FFF2-40B4-BE49-F238E27FC236}">
                  <a16:creationId xmlns:a16="http://schemas.microsoft.com/office/drawing/2014/main" id="{00000000-0008-0000-12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Update Copy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555" name="sbBeam_background">
          <a:extLst>
            <a:ext uri="{FF2B5EF4-FFF2-40B4-BE49-F238E27FC236}">
              <a16:creationId xmlns:a16="http://schemas.microsoft.com/office/drawing/2014/main" id="{0E6DC677-6F52-A103-06DB-422D1F042B33}"/>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556" name="sbBeam_title">
          <a:extLst>
            <a:ext uri="{FF2B5EF4-FFF2-40B4-BE49-F238E27FC236}">
              <a16:creationId xmlns:a16="http://schemas.microsoft.com/office/drawing/2014/main" id="{995E87C9-BC58-08EE-906D-0DFD4DC30D3C}"/>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557" name="sbBeam_beam">
          <a:extLst>
            <a:ext uri="{FF2B5EF4-FFF2-40B4-BE49-F238E27FC236}">
              <a16:creationId xmlns:a16="http://schemas.microsoft.com/office/drawing/2014/main" id="{C128E3EB-A997-63A7-B07A-0B65FD67B921}"/>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58" name="sbBeam_axis">
          <a:extLst>
            <a:ext uri="{FF2B5EF4-FFF2-40B4-BE49-F238E27FC236}">
              <a16:creationId xmlns:a16="http://schemas.microsoft.com/office/drawing/2014/main" id="{B2DA18BC-F912-AC76-008A-4B17D067718C}"/>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559" name="sbBeam_pin">
          <a:extLst>
            <a:ext uri="{FF2B5EF4-FFF2-40B4-BE49-F238E27FC236}">
              <a16:creationId xmlns:a16="http://schemas.microsoft.com/office/drawing/2014/main" id="{35F9A75B-DE14-597A-E633-8C902CBEED48}"/>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560" name="sbBeam_roller">
          <a:extLst>
            <a:ext uri="{FF2B5EF4-FFF2-40B4-BE49-F238E27FC236}">
              <a16:creationId xmlns:a16="http://schemas.microsoft.com/office/drawing/2014/main" id="{B05FDBC1-F868-FBF4-259B-A34587F55A97}"/>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561" name="sbBeam_wheel-1">
          <a:extLst>
            <a:ext uri="{FF2B5EF4-FFF2-40B4-BE49-F238E27FC236}">
              <a16:creationId xmlns:a16="http://schemas.microsoft.com/office/drawing/2014/main" id="{54DB83B3-8249-64FF-FDAC-6B99DBB8809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562" name="sbBeam_wheel0">
          <a:extLst>
            <a:ext uri="{FF2B5EF4-FFF2-40B4-BE49-F238E27FC236}">
              <a16:creationId xmlns:a16="http://schemas.microsoft.com/office/drawing/2014/main" id="{96200666-5DBA-D25B-01E1-FEA8B312FA64}"/>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563" name="sbBeam_wheel1">
          <a:extLst>
            <a:ext uri="{FF2B5EF4-FFF2-40B4-BE49-F238E27FC236}">
              <a16:creationId xmlns:a16="http://schemas.microsoft.com/office/drawing/2014/main" id="{D71FCDAC-6BB5-6B08-88EA-4E0E9BE6D54E}"/>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564" name="sbBeam_groundA">
          <a:extLst>
            <a:ext uri="{FF2B5EF4-FFF2-40B4-BE49-F238E27FC236}">
              <a16:creationId xmlns:a16="http://schemas.microsoft.com/office/drawing/2014/main" id="{2A28603E-04F1-E675-44FA-57AC687C57A9}"/>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565" name="sbBeam_groundB">
          <a:extLst>
            <a:ext uri="{FF2B5EF4-FFF2-40B4-BE49-F238E27FC236}">
              <a16:creationId xmlns:a16="http://schemas.microsoft.com/office/drawing/2014/main" id="{96B0AC07-29F4-FDA1-A6FC-74685FF5CD82}"/>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566" name="sbBeam_A">
          <a:extLst>
            <a:ext uri="{FF2B5EF4-FFF2-40B4-BE49-F238E27FC236}">
              <a16:creationId xmlns:a16="http://schemas.microsoft.com/office/drawing/2014/main" id="{E17E9DD3-DB7E-0178-55B7-41D9039B1572}"/>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567" name="sbBeam_B">
          <a:extLst>
            <a:ext uri="{FF2B5EF4-FFF2-40B4-BE49-F238E27FC236}">
              <a16:creationId xmlns:a16="http://schemas.microsoft.com/office/drawing/2014/main" id="{D4FDD979-A47A-4D67-41EF-5A802F1096A0}"/>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568" name="sbBeam_dimension">
          <a:extLst>
            <a:ext uri="{FF2B5EF4-FFF2-40B4-BE49-F238E27FC236}">
              <a16:creationId xmlns:a16="http://schemas.microsoft.com/office/drawing/2014/main" id="{ABBE1BCB-192C-4398-2C6A-C49F9EA16089}"/>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569" name="sbBeam_tickA">
          <a:extLst>
            <a:ext uri="{FF2B5EF4-FFF2-40B4-BE49-F238E27FC236}">
              <a16:creationId xmlns:a16="http://schemas.microsoft.com/office/drawing/2014/main" id="{5FB2E05D-2CC9-B703-5BA5-4351BD6B4EC6}"/>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570" name="sbBeam_tickB">
          <a:extLst>
            <a:ext uri="{FF2B5EF4-FFF2-40B4-BE49-F238E27FC236}">
              <a16:creationId xmlns:a16="http://schemas.microsoft.com/office/drawing/2014/main" id="{F1A690E1-8CB1-E0A3-CB41-49343D5CA958}"/>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571" name="sbBeam_label1">
          <a:extLst>
            <a:ext uri="{FF2B5EF4-FFF2-40B4-BE49-F238E27FC236}">
              <a16:creationId xmlns:a16="http://schemas.microsoft.com/office/drawing/2014/main" id="{448C561E-AD17-982E-FCED-9EAFA8EF286A}"/>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572" name="sbBeam_P1">
          <a:extLst>
            <a:ext uri="{FF2B5EF4-FFF2-40B4-BE49-F238E27FC236}">
              <a16:creationId xmlns:a16="http://schemas.microsoft.com/office/drawing/2014/main" id="{D5A4B7DA-1D67-73E0-6644-5FC20507F60B}"/>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573" name="sbBeam_UDLwave">
          <a:extLst>
            <a:ext uri="{FF2B5EF4-FFF2-40B4-BE49-F238E27FC236}">
              <a16:creationId xmlns:a16="http://schemas.microsoft.com/office/drawing/2014/main" id="{69D243BC-CA01-E98B-E5C6-A40EC0605ECB}"/>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574" name="sbBeam_UDLlabel">
          <a:extLst>
            <a:ext uri="{FF2B5EF4-FFF2-40B4-BE49-F238E27FC236}">
              <a16:creationId xmlns:a16="http://schemas.microsoft.com/office/drawing/2014/main" id="{F2DCB975-F3DE-6AD5-2042-194A992E7F69}"/>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575" name="sbBeam_span">
          <a:extLst>
            <a:ext uri="{FF2B5EF4-FFF2-40B4-BE49-F238E27FC236}">
              <a16:creationId xmlns:a16="http://schemas.microsoft.com/office/drawing/2014/main" id="{0CB71201-33BC-5888-FACD-8A0D6A7C4E42}"/>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 name="SectionB_LongitudinalReinforcement">
          <a:extLst>
            <a:ext uri="{FF2B5EF4-FFF2-40B4-BE49-F238E27FC236}">
              <a16:creationId xmlns:a16="http://schemas.microsoft.com/office/drawing/2014/main" id="{D995FF51-AFEA-43F5-A871-94A274422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DACEB2C-C120-475F-863C-F4FD5491AE91}"/>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52AA0643-AB0F-4044-AD17-E7B08A74013E}"/>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6F66B036-171C-4944-9746-924F161A56BB}"/>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0E510287-A4CF-4B5F-831A-EEC86D9BB47F}"/>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212F8517-1389-417E-BBB9-377FB1ECF0B0}"/>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FA553C67-3C71-4C62-9C71-3FB4C1D1F113}"/>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68A9ADA5-172C-4B7E-8ADA-BC76507AA0CB}"/>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0E4AE499-1C87-4590-A79B-94BFE9E8FCA6}"/>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E472DF73-5D6B-4501-9289-DB29951E52AF}"/>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8F874001-D729-434B-AE43-2616BCEC5C6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34798235-E79A-4FB1-926F-93400BB1BB57}"/>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BF11327C-3354-43A2-B3DF-F1F46AF28C76}"/>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30B03BD6-950D-4238-83CE-1E2F9FD07313}"/>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C835087A-0E2C-4ACE-AE99-E5A426148EF8}"/>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16937F32-C729-4FFA-AA77-A421206F54CD}"/>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DC6BB326-872A-46BC-9878-DA8C5C710C73}"/>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2CD30FC0-8BF8-4636-B804-B26B0404E240}"/>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91808AA5-1F00-41AF-BD84-2B43FDB148DE}"/>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7D918F6E-8738-4E85-A03C-FD504E7FC505}"/>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811310E9-DF7F-4145-84A6-E8F8DE40A9BA}"/>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071A723F-F7BA-4812-9583-D92775786AB1}"/>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5693E0E1-8114-4E51-ABC2-014036BC7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40436FC-A235-4DA3-B211-BE882002C958}"/>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9D4227BC-8C3C-4748-A13A-58D8087EC50A}"/>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EC181D48-9FD4-4527-BDFC-ED216E22EA7E}"/>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675A2C35-4DAB-4073-A455-E5CA28714B97}"/>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5503086E-643E-4D12-9795-E97D57BEEA9F}"/>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447338D1-BFB9-4374-9C21-DD3774C7AE7D}"/>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1709AAC-CB0B-4BB8-92C7-9FA005176D2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C516D9E3-D14F-4B2E-87A9-15EC98305ACC}"/>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F7D55E38-6AEF-4460-9593-CD29D69CC5E8}"/>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7D4249F2-9468-492B-84C9-AE480B30B7D8}"/>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D4CE2F1-3E32-460F-8AB8-81FBB44DE55F}"/>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D4E4CD1E-23D9-44D1-9FF2-4B892BDE889B}"/>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DEF946BE-B46E-47BC-91D7-8F8E7580EC9C}"/>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75783F2C-11C5-4A78-A1C5-C00A2C907382}"/>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61535B2E-E2D9-4DF9-A7ED-F26F71E5BCAF}"/>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B86F87A3-1CAE-4FA5-8689-89ED5C40DF76}"/>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60B55FAF-8A13-473C-A046-6D289D863063}"/>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EF263401-0173-4EEF-8BDC-208D2A063365}"/>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8B8CBF87-43BE-4A7A-A24A-DE5E4728E128}"/>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9C10EFCE-D388-4812-916E-CAB46CE2B25C}"/>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6FEA7F96-726C-45A9-BB0F-F0A4E1B136EC}"/>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DA8DC452-CB90-4F91-B742-8D25E1E5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9FEBC24E-0E16-4842-ABB7-2727B99357FC}"/>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4FD3AD9A-C2CA-4B58-85A5-1A7AE6AF9C54}"/>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BA4944BA-2EE9-4303-B9D8-5451616940ED}"/>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DA5CCC00-2AB5-47CA-8EF0-173887144D42}"/>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6FF73359-BC70-404D-B408-DFEFED5E9042}"/>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9E19DD81-08F7-447A-B630-0289F8A1CA59}"/>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A837CC5-A0D9-46AB-BD0A-2A282036FA6A}"/>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D5E8C05E-71AD-4CEB-870E-B128D754319A}"/>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30C8E081-EADA-4E49-99EF-E1FC68C33F55}"/>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E1636A95-F290-4BA4-97B8-B4C2A130725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7EA54AD-E092-42AD-89C8-CE9627F16A8D}"/>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FF844C6A-F02D-45F6-AB3F-3A2F438A932D}"/>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BF1F71D7-44EC-45EC-9E34-386A1CD4E9C6}"/>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9C7651EF-940C-441F-8ED9-58F48B4240E4}"/>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88E41F20-74B5-48FC-A061-F54B8565C6A2}"/>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714B0172-0680-4C53-B58B-BCDBE7AEB2F4}"/>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BD77325C-6CBC-4DD4-9FDB-7A4DB92BA5EC}"/>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4CB5D385-60C3-4C89-8E8C-6775EDF4E138}"/>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41E9E7A4-2C94-42E8-9354-490CC9EEE17D}"/>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452B3DED-373F-4FE5-8925-A6EDCBBFD0B0}"/>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98CC84BF-DEAA-4312-BDBC-BC249893959A}"/>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6A931F9C-8EF7-4878-ACE2-7A9F2C963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FCE21B-2C42-4386-BEDD-384CDEF72137}" name="RCLoadResults73" displayName="RCLoadResults73" ref="A4:J5" totalsRowShown="0" headerRowDxfId="89">
  <autoFilter ref="A4:J5" xr:uid="{5BFCE21B-2C42-4386-BEDD-384CDEF72137}"/>
  <tableColumns count="10">
    <tableColumn id="1" xr3:uid="{DE7F0698-97E4-4C4C-A8A7-EB6BA9DB70AD}" name="Member"/>
    <tableColumn id="2" xr3:uid="{ED1D1067-CE81-4D47-B900-2221A8D54CD0}" name="L"/>
    <tableColumn id="3" xr3:uid="{056B2B84-3573-4A7D-86B8-BB1E1057A4F9}" name="M" dataDxfId="88"/>
    <tableColumn id="4" xr3:uid="{DAF54ABA-8BE5-4EC1-ADAD-3762FE22FD34}" name="V" dataDxfId="87"/>
    <tableColumn id="5" xr3:uid="{49F554DF-AC81-4901-87BB-DA548576BCB9}" name="RA" dataDxfId="86"/>
    <tableColumn id="6" xr3:uid="{6AF49186-F7A5-41DC-8AD2-8E507EC3FD4B}" name="RB" dataDxfId="85"/>
    <tableColumn id="7" xr3:uid="{F146227F-27AC-4CDD-A91B-3DD931DBF214}" name="G" dataDxfId="84"/>
    <tableColumn id="8" xr3:uid="{71E02291-D1A8-4C58-AB29-46F79563F8B8}" name="Q" dataDxfId="83"/>
    <tableColumn id="9" xr3:uid="{CD932B59-3F7E-4638-974F-67CC2D450F8C}" name="X" dataDxfId="82"/>
    <tableColumn id="10" xr3:uid="{37CAA9F9-5404-48DF-A29F-40029DF86722}" name="Status" dataDxfId="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DBBBCD-B495-4515-BB3A-F89C0354981E}" name="RCLoads73" displayName="RCLoads73" ref="A4:G5" totalsRowShown="0" headerRowDxfId="80" dataDxfId="79">
  <autoFilter ref="A4:G5" xr:uid="{1CDBBBCD-B495-4515-BB3A-F89C0354981E}"/>
  <tableColumns count="7">
    <tableColumn id="1" xr3:uid="{5D2539A6-3D2A-49FB-A390-8897584D15E3}" name="Member" dataDxfId="78"/>
    <tableColumn id="2" xr3:uid="{AA3B43BF-86CE-4589-9B46-DBD78A5F1736}" name="Type" dataDxfId="77"/>
    <tableColumn id="3" xr3:uid="{A34AED22-5101-48A8-AA1C-E1CE06239FF0}" name="Start" dataDxfId="76"/>
    <tableColumn id="4" xr3:uid="{623EC3B1-92BD-488F-8FF4-5C96CA6BB25C}" name="End" dataDxfId="75"/>
    <tableColumn id="5" xr3:uid="{9FF4EF24-FFB3-436A-B6F6-4D999F42CAEC}" name="G" dataDxfId="74"/>
    <tableColumn id="6" xr3:uid="{F84A61FC-7ADD-4C82-992C-68DAFF260E54}" name="Q" dataDxfId="73"/>
    <tableColumn id="7" xr3:uid="{A9EF8CF7-990F-41AD-91B5-47F9E0662708}" name="Source"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93781F-F675-43B9-B6C4-37FF5255D74C}" name="TCFloors" displayName="TCFloors" ref="A4:K204" totalsRowShown="0" headerRowDxfId="48" dataDxfId="46" headerRowBorderDxfId="47" tableBorderDxfId="45" totalsRowBorderDxfId="44">
  <autoFilter ref="A4:K204" xr:uid="{5E93781F-F675-43B9-B6C4-37FF5255D74C}"/>
  <tableColumns count="11">
    <tableColumn id="1" xr3:uid="{CB5F0885-5742-4634-9ACC-8683E07947C0}" name="TC ID" dataDxfId="43"/>
    <tableColumn id="2" xr3:uid="{B53C42DA-CEA6-4F07-B889-CC652B2CEFBD}" name="Usage" dataDxfId="42"/>
    <tableColumn id="3" xr3:uid="{B2D1D740-A2E4-43FA-AA56-AEB73A85E912}" name="DL" dataDxfId="41">
      <calculatedColumnFormula>IF(A5="","",10)</calculatedColumnFormula>
    </tableColumn>
    <tableColumn id="4" xr3:uid="{5D24D18F-33A3-473C-B0BA-4CC1207F40B3}" name="SDL" dataDxfId="40"/>
    <tableColumn id="5" xr3:uid="{44ABF896-FA67-423C-919E-94A0E2BC9DA6}" name="LL" dataDxfId="39">
      <calculatedColumnFormula>IF(B5="","",IFERROR(IF(INDEX('Imposed Load'!$B$16:$B$68,MATCH(B5,'Imposed Load'!$A$16:$A$68,0))="LL-SPECIAL","",INDEX('Imposed Load'!$C$16:$C$68,MATCH(B5,'Imposed Load'!$A$16:$A$68,0))),""))</calculatedColumnFormula>
    </tableColumn>
    <tableColumn id="6" xr3:uid="{3CA04ADC-C502-4EC0-8014-D33ED8752880}" name="B (m)" dataDxfId="38"/>
    <tableColumn id="7" xr3:uid="{C5D449DE-E8DB-4056-95C7-7D640060B920}" name="D (m)" dataDxfId="37"/>
    <tableColumn id="8" xr3:uid="{19FFC7F6-09B8-475B-BB61-AF5C83CCC3C4}" name="Area" dataDxfId="36">
      <calculatedColumnFormula>IF(OR(F5="",G5=""),"",F5*G5)</calculatedColumnFormula>
    </tableColumn>
    <tableColumn id="9" xr3:uid="{A559CA43-43A3-4B1D-88FB-693F0D79AA39}" name="Floors" dataDxfId="35">
      <calculatedColumnFormula>IF(A5="","",1)</calculatedColumnFormula>
    </tableColumn>
    <tableColumn id="10" xr3:uid="{57A7E4B0-D8AD-47B3-B9E9-3D0B0AB6FEFC}" name="Floor Load" dataDxfId="34">
      <calculatedColumnFormula>IF(K5&lt;&gt;"OK","",H5*I5*(1.4*(C5+D5)+1.6*E5))</calculatedColumnFormula>
    </tableColumn>
    <tableColumn id="11" xr3:uid="{93AFB4A3-22EE-4BEC-8FEE-9901EEE84233}" name="Check" dataDxfId="33">
      <calculatedColumnFormula>IF(AND(A5="",B5="",F5="",G5=""),"",IF(OR(COUNTIF($O$5:$O$104,A5)&lt;&gt;1,B5="",COUNT(C5:G5,I5)&lt;&gt;6,MIN(C5:E5)&lt;0,F5&lt;=0,G5&lt;=0,I5&lt;=0,MOD(I5,1)&lt;&gt;0),"INPUT REQUIRED","OK"))</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hyperlink" Target="https://www.hkie-st.org/wp-content/uploads/2022/06/85_book1-01022018e.pdf"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https://www.hkie-st.org/wp-content/uploads/2022/06/85_book1-01022018e.pdf"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85DAA-6F5F-4A69-A45B-14B5A9F5E9FA}">
  <sheetPr codeName="Sheet24">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1230</v>
      </c>
    </row>
    <row r="4" spans="1:10" ht="34.049999999999997" customHeight="1">
      <c r="A4" s="388" t="s">
        <v>126</v>
      </c>
      <c r="B4" s="388" t="s">
        <v>127</v>
      </c>
      <c r="C4" s="388" t="s">
        <v>128</v>
      </c>
      <c r="D4" s="388" t="s">
        <v>129</v>
      </c>
      <c r="E4" s="388" t="s">
        <v>174</v>
      </c>
      <c r="F4" s="388" t="s">
        <v>175</v>
      </c>
      <c r="G4" s="388" t="s">
        <v>176</v>
      </c>
      <c r="H4" s="388" t="s">
        <v>177</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89D0F-BC75-401A-874E-F72534DF5D12}">
  <sheetPr codeName="Sheet25">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1222</v>
      </c>
    </row>
    <row r="2" spans="1:10">
      <c r="A2" t="s">
        <v>1232</v>
      </c>
    </row>
    <row r="4" spans="1:10" ht="34.049999999999997" customHeight="1">
      <c r="A4" s="388" t="s">
        <v>101</v>
      </c>
      <c r="B4" s="388" t="s">
        <v>1223</v>
      </c>
      <c r="C4" s="388" t="s">
        <v>1224</v>
      </c>
      <c r="D4" s="388" t="s">
        <v>1225</v>
      </c>
      <c r="E4" s="388" t="s">
        <v>1226</v>
      </c>
      <c r="F4" s="388" t="s">
        <v>1227</v>
      </c>
      <c r="G4" s="388" t="s">
        <v>1219</v>
      </c>
      <c r="H4" s="388" t="s">
        <v>1220</v>
      </c>
      <c r="I4" s="388" t="s">
        <v>1228</v>
      </c>
      <c r="J4" s="388" t="s">
        <v>1229</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7E42B-EC9A-44CC-BEA9-FC0980B1330C}">
  <sheetPr codeName="Sheet26">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1216</v>
      </c>
    </row>
    <row r="2" spans="1:10">
      <c r="A2" t="s">
        <v>1231</v>
      </c>
    </row>
    <row r="4" spans="1:10" ht="34.049999999999997" customHeight="1">
      <c r="A4" s="388" t="s">
        <v>101</v>
      </c>
      <c r="B4" s="388" t="s">
        <v>102</v>
      </c>
      <c r="C4" s="388" t="s">
        <v>1217</v>
      </c>
      <c r="D4" s="388" t="s">
        <v>1218</v>
      </c>
      <c r="E4" s="388" t="s">
        <v>1219</v>
      </c>
      <c r="F4" s="388" t="s">
        <v>1220</v>
      </c>
      <c r="G4" s="388" t="s">
        <v>1221</v>
      </c>
    </row>
    <row r="5" spans="1:10">
      <c r="A5" s="390"/>
      <c r="B5" s="390"/>
      <c r="C5" s="391"/>
      <c r="D5" s="391"/>
      <c r="E5" s="391"/>
      <c r="F5" s="391"/>
      <c r="G5" s="391"/>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7F202-657D-4784-9B38-6502843DD418}">
  <sheetPr codeName="Sheet27"/>
  <dimension ref="A1:B5"/>
  <sheetViews>
    <sheetView tabSelected="1" workbookViewId="0"/>
  </sheetViews>
  <sheetFormatPr defaultRowHeight="13.8"/>
  <cols>
    <col min="1" max="1" width="45.69921875" customWidth="1"/>
    <col min="2" max="2" width="18.69921875" customWidth="1"/>
  </cols>
  <sheetData>
    <row r="1" spans="1:2">
      <c r="A1" s="392" t="s">
        <v>1233</v>
      </c>
      <c r="B1" s="392"/>
    </row>
    <row r="2" spans="1:2">
      <c r="A2" t="s">
        <v>1234</v>
      </c>
    </row>
    <row r="4" spans="1:2">
      <c r="A4" t="s">
        <v>784</v>
      </c>
      <c r="B4" s="390"/>
    </row>
    <row r="5" spans="1:2">
      <c r="A5" t="s">
        <v>1235</v>
      </c>
      <c r="B5" s="390"/>
    </row>
  </sheetData>
  <phoneticPr fontId="10" type="noConversion"/>
  <dataValidations count="1">
    <dataValidation type="decimal" allowBlank="1" showInputMessage="1" showErrorMessage="1" sqref="B4:B5" xr:uid="{0C91B185-87C2-402D-A3FE-786D16BEE6FD}">
      <formula1>1</formula1>
      <formula2>100000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D1C5-AAC2-4D19-A14C-C53A26E59824}">
  <sheetPr codeName="Sheet20">
    <tabColor rgb="FF203E75"/>
    <pageSetUpPr fitToPage="1"/>
  </sheetPr>
  <dimension ref="A1:AD176"/>
  <sheetViews>
    <sheetView showGridLines="0" zoomScale="75" zoomScaleNormal="75" workbookViewId="0">
      <selection sqref="A1:P1"/>
    </sheetView>
  </sheetViews>
  <sheetFormatPr defaultRowHeight="13.8"/>
  <cols>
    <col min="1" max="1" width="13.69921875" customWidth="1"/>
    <col min="2" max="2" width="19.69921875" customWidth="1"/>
    <col min="3" max="4" width="13.69921875" customWidth="1"/>
    <col min="5" max="5" width="21.69921875" customWidth="1"/>
    <col min="6" max="15" width="13.69921875" customWidth="1"/>
    <col min="16" max="16" width="20.69921875" customWidth="1"/>
    <col min="17" max="17" width="2.69921875" customWidth="1"/>
    <col min="18" max="30" width="11.69921875" customWidth="1"/>
  </cols>
  <sheetData>
    <row r="1" spans="1:30" ht="28.95" customHeight="1">
      <c r="A1" s="393" t="s">
        <v>1118</v>
      </c>
      <c r="B1" s="393"/>
      <c r="C1" s="393"/>
      <c r="D1" s="393"/>
      <c r="E1" s="393"/>
      <c r="F1" s="393"/>
      <c r="G1" s="393"/>
      <c r="H1" s="393"/>
      <c r="I1" s="393"/>
      <c r="J1" s="393"/>
      <c r="K1" s="393"/>
      <c r="L1" s="393"/>
      <c r="M1" s="393"/>
      <c r="N1" s="393"/>
      <c r="O1" s="393"/>
      <c r="P1" s="393"/>
      <c r="Q1" s="15"/>
      <c r="R1" s="15"/>
      <c r="S1" s="15"/>
      <c r="T1" s="15"/>
      <c r="U1" s="15"/>
      <c r="V1" s="15"/>
      <c r="W1" s="15"/>
      <c r="X1" s="15"/>
      <c r="Y1" s="15"/>
      <c r="Z1" s="15"/>
      <c r="AA1" s="15"/>
      <c r="AB1" s="15"/>
      <c r="AC1" s="15"/>
      <c r="AD1" s="15"/>
    </row>
    <row r="2" spans="1:30" ht="25.05" customHeight="1">
      <c r="A2" s="398" t="s">
        <v>1156</v>
      </c>
      <c r="B2" s="398"/>
      <c r="C2" s="398" t="s">
        <v>890</v>
      </c>
      <c r="D2" s="398"/>
      <c r="E2" s="398"/>
      <c r="F2" s="398" t="s">
        <v>907</v>
      </c>
      <c r="G2" s="398"/>
      <c r="H2" s="15"/>
      <c r="I2" s="15"/>
      <c r="J2" s="15"/>
      <c r="K2" s="15"/>
      <c r="L2" s="15"/>
      <c r="M2" s="15"/>
      <c r="N2" s="15"/>
      <c r="O2" s="15"/>
      <c r="P2" s="15"/>
      <c r="Q2" s="15"/>
      <c r="R2" s="15"/>
      <c r="S2" s="15"/>
      <c r="T2" s="15"/>
      <c r="U2" s="15"/>
      <c r="V2" s="15"/>
      <c r="W2" s="15"/>
      <c r="X2" s="15"/>
      <c r="Y2" s="15"/>
      <c r="Z2" s="15"/>
      <c r="AA2" s="15"/>
      <c r="AB2" s="15"/>
      <c r="AC2" s="15"/>
      <c r="AD2" s="15"/>
    </row>
    <row r="3" spans="1:30" ht="25.05" customHeight="1">
      <c r="A3" s="394" t="s">
        <v>1157</v>
      </c>
      <c r="B3" s="394"/>
      <c r="C3" s="399"/>
      <c r="D3" s="399"/>
      <c r="E3" s="399"/>
      <c r="F3" s="400"/>
      <c r="G3" s="400"/>
      <c r="H3" s="395" t="str">
        <f>'_Input Engine'!G4</f>
        <v>UPDATE REQUIRED</v>
      </c>
      <c r="I3" s="396"/>
      <c r="J3" s="396"/>
      <c r="K3" s="396"/>
      <c r="L3" s="396"/>
      <c r="M3" s="396"/>
      <c r="N3" s="396"/>
      <c r="O3" s="396"/>
      <c r="P3" s="396"/>
      <c r="Q3" s="15"/>
      <c r="R3" s="15"/>
      <c r="S3" s="15"/>
      <c r="T3" s="15"/>
      <c r="U3" s="15"/>
      <c r="V3" s="15"/>
      <c r="W3" s="15"/>
      <c r="X3" s="15"/>
      <c r="Y3" s="15"/>
      <c r="Z3" s="15"/>
      <c r="AA3" s="15"/>
      <c r="AB3" s="15"/>
      <c r="AC3" s="15"/>
      <c r="AD3" s="15"/>
    </row>
    <row r="4" spans="1:30" ht="25.05" customHeight="1">
      <c r="A4" s="394" t="s">
        <v>728</v>
      </c>
      <c r="B4" s="394"/>
      <c r="C4" s="401">
        <v>60</v>
      </c>
      <c r="D4" s="401"/>
      <c r="E4" s="401"/>
      <c r="F4" s="402">
        <v>2</v>
      </c>
      <c r="G4" s="402"/>
      <c r="H4" s="403" t="s">
        <v>1159</v>
      </c>
      <c r="I4" s="396"/>
      <c r="J4" s="396"/>
      <c r="K4" s="396"/>
      <c r="L4" s="396"/>
      <c r="M4" s="396"/>
      <c r="N4" s="396"/>
      <c r="O4" s="396"/>
      <c r="P4" s="396"/>
      <c r="Q4" s="15"/>
      <c r="R4" s="15"/>
      <c r="S4" s="15"/>
      <c r="T4" s="15"/>
      <c r="U4" s="15"/>
      <c r="V4" s="15"/>
      <c r="W4" s="15"/>
      <c r="X4" s="15"/>
      <c r="Y4" s="15"/>
      <c r="Z4" s="15"/>
      <c r="AA4" s="15"/>
      <c r="AB4" s="15"/>
      <c r="AC4" s="15"/>
      <c r="AD4" s="15"/>
    </row>
    <row r="5" spans="1:30" ht="25.05" customHeight="1">
      <c r="A5" s="394" t="s">
        <v>1158</v>
      </c>
      <c r="B5" s="394"/>
      <c r="C5" s="401">
        <v>60</v>
      </c>
      <c r="D5" s="401"/>
      <c r="E5" s="401"/>
      <c r="F5" s="402">
        <v>2</v>
      </c>
      <c r="G5" s="402"/>
      <c r="H5" s="15"/>
      <c r="I5" s="15"/>
      <c r="J5" s="15"/>
      <c r="K5" s="15"/>
      <c r="L5" s="15"/>
      <c r="M5" s="15"/>
      <c r="N5" s="15"/>
      <c r="O5" s="15"/>
      <c r="P5" s="15"/>
      <c r="Q5" s="15"/>
      <c r="R5" s="15"/>
      <c r="S5" s="15"/>
      <c r="T5" s="15"/>
      <c r="U5" s="15"/>
      <c r="V5" s="15"/>
      <c r="W5" s="15"/>
      <c r="X5" s="15"/>
      <c r="Y5" s="15"/>
      <c r="Z5" s="15"/>
      <c r="AA5" s="15"/>
      <c r="AB5" s="15"/>
      <c r="AC5" s="15"/>
      <c r="AD5" s="15"/>
    </row>
    <row r="6" spans="1:30" ht="22.95" customHeight="1">
      <c r="A6" s="397" t="s">
        <v>1112</v>
      </c>
      <c r="B6" s="397"/>
      <c r="C6" s="397"/>
      <c r="D6" s="397"/>
      <c r="E6" s="397"/>
      <c r="F6" s="397"/>
      <c r="G6" s="397"/>
      <c r="H6" s="397"/>
      <c r="I6" s="397"/>
      <c r="J6" s="397"/>
      <c r="K6" s="397"/>
      <c r="L6" s="397"/>
      <c r="M6" s="397"/>
      <c r="N6" s="397"/>
      <c r="O6" s="397"/>
      <c r="P6" s="397"/>
      <c r="Q6" s="15"/>
      <c r="R6" s="15"/>
      <c r="S6" s="15"/>
      <c r="T6" s="15"/>
      <c r="U6" s="15"/>
      <c r="V6" s="15"/>
      <c r="W6" s="15"/>
      <c r="X6" s="15"/>
      <c r="Y6" s="15"/>
      <c r="Z6" s="15"/>
      <c r="AA6" s="15"/>
      <c r="AB6" s="15"/>
      <c r="AC6" s="15"/>
      <c r="AD6" s="15"/>
    </row>
    <row r="7" spans="1:30" ht="22.95" customHeight="1">
      <c r="A7" s="404" t="s">
        <v>1113</v>
      </c>
      <c r="B7" s="404"/>
      <c r="C7" s="404"/>
      <c r="D7" s="404"/>
      <c r="E7" s="404"/>
      <c r="F7" s="404"/>
      <c r="G7" s="404"/>
      <c r="H7" s="404"/>
      <c r="I7" s="404"/>
      <c r="J7" s="404"/>
      <c r="K7" s="404"/>
      <c r="L7" s="404"/>
      <c r="M7" s="404"/>
      <c r="N7" s="404"/>
      <c r="O7" s="404"/>
      <c r="P7" s="404"/>
      <c r="Q7" s="15"/>
      <c r="R7" s="15"/>
      <c r="S7" s="15"/>
      <c r="T7" s="15"/>
      <c r="U7" s="15"/>
      <c r="V7" s="15"/>
      <c r="W7" s="15"/>
      <c r="X7" s="15"/>
      <c r="Y7" s="15"/>
      <c r="Z7" s="15"/>
      <c r="AA7" s="15"/>
      <c r="AB7" s="15"/>
      <c r="AC7" s="15"/>
      <c r="AD7" s="15"/>
    </row>
    <row r="8" spans="1:30" ht="43.95" customHeight="1">
      <c r="A8" s="346" t="s">
        <v>126</v>
      </c>
      <c r="B8" s="346" t="s">
        <v>127</v>
      </c>
      <c r="C8" s="346" t="s">
        <v>128</v>
      </c>
      <c r="D8" s="346" t="s">
        <v>1114</v>
      </c>
      <c r="E8" s="346" t="s">
        <v>129</v>
      </c>
      <c r="F8" s="346" t="s">
        <v>174</v>
      </c>
      <c r="G8" s="346" t="s">
        <v>175</v>
      </c>
      <c r="H8" s="346" t="s">
        <v>176</v>
      </c>
      <c r="I8" s="346" t="s">
        <v>177</v>
      </c>
      <c r="J8" s="346" t="s">
        <v>214</v>
      </c>
      <c r="K8" s="346" t="s">
        <v>215</v>
      </c>
      <c r="L8" s="346" t="s">
        <v>130</v>
      </c>
      <c r="M8" s="346" t="s">
        <v>131</v>
      </c>
      <c r="N8" s="346" t="s">
        <v>132</v>
      </c>
      <c r="O8" s="346" t="s">
        <v>4</v>
      </c>
      <c r="P8" s="346" t="s">
        <v>106</v>
      </c>
      <c r="Q8" s="15"/>
      <c r="R8" s="15"/>
      <c r="S8" s="15"/>
      <c r="T8" s="15"/>
      <c r="U8" s="15"/>
      <c r="V8" s="15"/>
      <c r="W8" s="15"/>
      <c r="X8" s="15"/>
      <c r="Y8" s="15"/>
      <c r="Z8" s="15"/>
      <c r="AA8" s="15"/>
      <c r="AB8" s="15"/>
      <c r="AC8" s="15"/>
      <c r="AD8" s="15"/>
    </row>
    <row r="9" spans="1:30" ht="28.95" customHeight="1">
      <c r="A9" s="348" t="s">
        <v>134</v>
      </c>
      <c r="B9" s="348" t="s">
        <v>48</v>
      </c>
      <c r="C9" s="349">
        <v>10</v>
      </c>
      <c r="D9" s="349">
        <v>0</v>
      </c>
      <c r="E9" s="350">
        <f>'_Input Engine'!E181</f>
        <v>2</v>
      </c>
      <c r="F9" s="351">
        <v>5</v>
      </c>
      <c r="G9" s="351"/>
      <c r="H9" s="351"/>
      <c r="I9" s="350" t="str">
        <f>'_Input Engine'!I181</f>
        <v/>
      </c>
      <c r="J9" s="351">
        <v>10</v>
      </c>
      <c r="K9" s="351">
        <v>10</v>
      </c>
      <c r="L9" s="350">
        <f>'_Input Engine'!L181</f>
        <v>100</v>
      </c>
      <c r="M9" s="352">
        <v>10</v>
      </c>
      <c r="N9" s="350">
        <f>'_Input Engine'!N181</f>
        <v>17200</v>
      </c>
      <c r="O9" s="347" t="str">
        <f>'_Input Engine'!O181</f>
        <v>LL-2.0</v>
      </c>
      <c r="P9" s="347" t="str">
        <f>'_Input Engine'!P181</f>
        <v>Ready</v>
      </c>
      <c r="Q9" s="15"/>
      <c r="R9" s="15"/>
      <c r="S9" s="15"/>
      <c r="T9" s="15"/>
      <c r="U9" s="15"/>
      <c r="V9" s="15"/>
      <c r="W9" s="15"/>
      <c r="X9" s="15"/>
      <c r="Y9" s="15"/>
      <c r="Z9" s="15"/>
      <c r="AA9" s="15"/>
      <c r="AB9" s="15"/>
      <c r="AC9" s="15"/>
      <c r="AD9" s="15"/>
    </row>
    <row r="10" spans="1:30" ht="28.95" customHeight="1">
      <c r="A10" s="348" t="s">
        <v>135</v>
      </c>
      <c r="B10" s="348" t="s">
        <v>70</v>
      </c>
      <c r="C10" s="349">
        <v>10</v>
      </c>
      <c r="D10" s="349">
        <v>0</v>
      </c>
      <c r="E10" s="350">
        <f>'_Input Engine'!E182</f>
        <v>7.5</v>
      </c>
      <c r="F10" s="351">
        <v>6</v>
      </c>
      <c r="G10" s="351"/>
      <c r="H10" s="351"/>
      <c r="I10" s="350" t="str">
        <f>'_Input Engine'!I182</f>
        <v/>
      </c>
      <c r="J10" s="351"/>
      <c r="K10" s="351"/>
      <c r="L10" s="350" t="str">
        <f>'_Input Engine'!L182</f>
        <v/>
      </c>
      <c r="M10" s="352">
        <v>1</v>
      </c>
      <c r="N10" s="350" t="str">
        <f>'_Input Engine'!N182</f>
        <v/>
      </c>
      <c r="O10" s="347" t="str">
        <f>'_Input Engine'!O182</f>
        <v>LL-7.5</v>
      </c>
      <c r="P10" s="347" t="str">
        <f>'_Input Engine'!P182</f>
        <v>ENTER B AND D</v>
      </c>
      <c r="Q10" s="15"/>
      <c r="R10" s="15"/>
      <c r="S10" s="15"/>
      <c r="T10" s="15"/>
      <c r="U10" s="15"/>
      <c r="V10" s="15"/>
      <c r="W10" s="15"/>
      <c r="X10" s="15"/>
      <c r="Y10" s="15"/>
      <c r="Z10" s="15"/>
      <c r="AA10" s="15"/>
      <c r="AB10" s="15"/>
      <c r="AC10" s="15"/>
      <c r="AD10" s="15"/>
    </row>
    <row r="11" spans="1:30" ht="28.95" customHeight="1">
      <c r="A11" s="348" t="s">
        <v>136</v>
      </c>
      <c r="B11" s="348" t="s">
        <v>54</v>
      </c>
      <c r="C11" s="349">
        <v>10</v>
      </c>
      <c r="D11" s="349">
        <v>0</v>
      </c>
      <c r="E11" s="350">
        <f>'_Input Engine'!E183</f>
        <v>3</v>
      </c>
      <c r="F11" s="351">
        <v>3</v>
      </c>
      <c r="G11" s="351"/>
      <c r="H11" s="351"/>
      <c r="I11" s="350" t="str">
        <f>'_Input Engine'!I183</f>
        <v/>
      </c>
      <c r="J11" s="351"/>
      <c r="K11" s="351"/>
      <c r="L11" s="350" t="str">
        <f>'_Input Engine'!L183</f>
        <v/>
      </c>
      <c r="M11" s="352">
        <v>1</v>
      </c>
      <c r="N11" s="350" t="str">
        <f>'_Input Engine'!N183</f>
        <v/>
      </c>
      <c r="O11" s="347" t="str">
        <f>'_Input Engine'!O183</f>
        <v>LL-3.0</v>
      </c>
      <c r="P11" s="347" t="str">
        <f>'_Input Engine'!P183</f>
        <v>ENTER B AND D</v>
      </c>
      <c r="Q11" s="15"/>
      <c r="R11" s="15"/>
      <c r="S11" s="15"/>
      <c r="T11" s="15"/>
      <c r="U11" s="15"/>
      <c r="V11" s="15"/>
      <c r="W11" s="15"/>
      <c r="X11" s="15"/>
      <c r="Y11" s="15"/>
      <c r="Z11" s="15"/>
      <c r="AA11" s="15"/>
      <c r="AB11" s="15"/>
      <c r="AC11" s="15"/>
      <c r="AD11" s="15"/>
    </row>
    <row r="12" spans="1:30" ht="28.95" customHeight="1">
      <c r="A12" s="348" t="s">
        <v>137</v>
      </c>
      <c r="B12" s="348" t="s">
        <v>61</v>
      </c>
      <c r="C12" s="349">
        <v>10</v>
      </c>
      <c r="D12" s="349">
        <v>0</v>
      </c>
      <c r="E12" s="350">
        <f>'_Input Engine'!E184</f>
        <v>5</v>
      </c>
      <c r="F12" s="351">
        <v>2</v>
      </c>
      <c r="G12" s="351"/>
      <c r="H12" s="351"/>
      <c r="I12" s="350" t="str">
        <f>'_Input Engine'!I184</f>
        <v/>
      </c>
      <c r="J12" s="351"/>
      <c r="K12" s="351"/>
      <c r="L12" s="350" t="str">
        <f>'_Input Engine'!L184</f>
        <v/>
      </c>
      <c r="M12" s="352">
        <v>4</v>
      </c>
      <c r="N12" s="350" t="str">
        <f>'_Input Engine'!N184</f>
        <v/>
      </c>
      <c r="O12" s="347" t="str">
        <f>'_Input Engine'!O184</f>
        <v>LL-5.0</v>
      </c>
      <c r="P12" s="347" t="str">
        <f>'_Input Engine'!P184</f>
        <v>ENTER B AND D</v>
      </c>
      <c r="Q12" s="15"/>
      <c r="R12" s="15"/>
      <c r="S12" s="15"/>
      <c r="T12" s="15"/>
      <c r="U12" s="15"/>
      <c r="V12" s="15"/>
      <c r="W12" s="15"/>
      <c r="X12" s="15"/>
      <c r="Y12" s="15"/>
      <c r="Z12" s="15"/>
      <c r="AA12" s="15"/>
      <c r="AB12" s="15"/>
      <c r="AC12" s="15"/>
      <c r="AD12" s="15"/>
    </row>
    <row r="13" spans="1:30" ht="28.95" customHeight="1">
      <c r="A13" s="348" t="s">
        <v>138</v>
      </c>
      <c r="B13" s="348" t="s">
        <v>61</v>
      </c>
      <c r="C13" s="349">
        <v>10</v>
      </c>
      <c r="D13" s="349">
        <v>0</v>
      </c>
      <c r="E13" s="350">
        <f>'_Input Engine'!E185</f>
        <v>5</v>
      </c>
      <c r="F13" s="351">
        <v>4</v>
      </c>
      <c r="G13" s="351"/>
      <c r="H13" s="351"/>
      <c r="I13" s="350" t="str">
        <f>'_Input Engine'!I185</f>
        <v/>
      </c>
      <c r="J13" s="351"/>
      <c r="K13" s="351"/>
      <c r="L13" s="350" t="str">
        <f>'_Input Engine'!L185</f>
        <v/>
      </c>
      <c r="M13" s="352">
        <v>1</v>
      </c>
      <c r="N13" s="350" t="str">
        <f>'_Input Engine'!N185</f>
        <v/>
      </c>
      <c r="O13" s="347" t="str">
        <f>'_Input Engine'!O185</f>
        <v>LL-5.0</v>
      </c>
      <c r="P13" s="347" t="str">
        <f>'_Input Engine'!P185</f>
        <v>ENTER B AND D</v>
      </c>
      <c r="Q13" s="15"/>
      <c r="R13" s="15"/>
      <c r="S13" s="15"/>
      <c r="T13" s="15"/>
      <c r="U13" s="15"/>
      <c r="V13" s="15"/>
      <c r="W13" s="15"/>
      <c r="X13" s="15"/>
      <c r="Y13" s="15"/>
      <c r="Z13" s="15"/>
      <c r="AA13" s="15"/>
      <c r="AB13" s="15"/>
      <c r="AC13" s="15"/>
      <c r="AD13" s="15"/>
    </row>
    <row r="14" spans="1:30" ht="28.95" customHeight="1">
      <c r="A14" s="348" t="s">
        <v>139</v>
      </c>
      <c r="B14" s="348" t="s">
        <v>57</v>
      </c>
      <c r="C14" s="349">
        <v>10</v>
      </c>
      <c r="D14" s="349">
        <v>0</v>
      </c>
      <c r="E14" s="350">
        <f>'_Input Engine'!E186</f>
        <v>3</v>
      </c>
      <c r="F14" s="351">
        <v>8</v>
      </c>
      <c r="G14" s="351"/>
      <c r="H14" s="351"/>
      <c r="I14" s="350" t="str">
        <f>'_Input Engine'!I186</f>
        <v/>
      </c>
      <c r="J14" s="351"/>
      <c r="K14" s="351"/>
      <c r="L14" s="350" t="str">
        <f>'_Input Engine'!L186</f>
        <v/>
      </c>
      <c r="M14" s="352">
        <v>2</v>
      </c>
      <c r="N14" s="350" t="str">
        <f>'_Input Engine'!N186</f>
        <v/>
      </c>
      <c r="O14" s="347" t="str">
        <f>'_Input Engine'!O186</f>
        <v>LL-3.0</v>
      </c>
      <c r="P14" s="347" t="str">
        <f>'_Input Engine'!P186</f>
        <v>ENTER B AND D</v>
      </c>
      <c r="Q14" s="15"/>
      <c r="R14" s="15"/>
      <c r="S14" s="15"/>
      <c r="T14" s="15"/>
      <c r="U14" s="15"/>
      <c r="V14" s="15"/>
      <c r="W14" s="15"/>
      <c r="X14" s="15"/>
      <c r="Y14" s="15"/>
      <c r="Z14" s="15"/>
      <c r="AA14" s="15"/>
      <c r="AB14" s="15"/>
      <c r="AC14" s="15"/>
      <c r="AD14" s="15"/>
    </row>
    <row r="15" spans="1:30" ht="28.95" customHeight="1">
      <c r="A15" s="348"/>
      <c r="B15" s="348"/>
      <c r="C15" s="349">
        <v>10</v>
      </c>
      <c r="D15" s="349">
        <v>0</v>
      </c>
      <c r="E15" s="350" t="str">
        <f>'_Input Engine'!E187</f>
        <v/>
      </c>
      <c r="F15" s="351"/>
      <c r="G15" s="351"/>
      <c r="H15" s="351"/>
      <c r="I15" s="350" t="str">
        <f>'_Input Engine'!I187</f>
        <v/>
      </c>
      <c r="J15" s="351"/>
      <c r="K15" s="351"/>
      <c r="L15" s="350" t="str">
        <f>'_Input Engine'!L187</f>
        <v/>
      </c>
      <c r="M15" s="352">
        <v>1</v>
      </c>
      <c r="N15" s="350" t="str">
        <f>'_Input Engine'!N187</f>
        <v/>
      </c>
      <c r="O15" s="347" t="str">
        <f>'_Input Engine'!O187</f>
        <v/>
      </c>
      <c r="P15" s="347" t="str">
        <f>'_Input Engine'!P187</f>
        <v/>
      </c>
      <c r="Q15" s="15"/>
      <c r="R15" s="15"/>
      <c r="S15" s="15"/>
      <c r="T15" s="15"/>
      <c r="U15" s="15"/>
      <c r="V15" s="15"/>
      <c r="W15" s="15"/>
      <c r="X15" s="15"/>
      <c r="Y15" s="15"/>
      <c r="Z15" s="15"/>
      <c r="AA15" s="15"/>
      <c r="AB15" s="15"/>
      <c r="AC15" s="15"/>
      <c r="AD15" s="15"/>
    </row>
    <row r="16" spans="1:30" ht="28.95" customHeight="1">
      <c r="A16" s="348"/>
      <c r="B16" s="348"/>
      <c r="C16" s="349">
        <v>10</v>
      </c>
      <c r="D16" s="349">
        <v>0</v>
      </c>
      <c r="E16" s="350" t="str">
        <f>'_Input Engine'!E188</f>
        <v/>
      </c>
      <c r="F16" s="351"/>
      <c r="G16" s="351"/>
      <c r="H16" s="351"/>
      <c r="I16" s="350" t="str">
        <f>'_Input Engine'!I188</f>
        <v/>
      </c>
      <c r="J16" s="351"/>
      <c r="K16" s="351"/>
      <c r="L16" s="350" t="str">
        <f>'_Input Engine'!L188</f>
        <v/>
      </c>
      <c r="M16" s="352">
        <v>1</v>
      </c>
      <c r="N16" s="350" t="str">
        <f>'_Input Engine'!N188</f>
        <v/>
      </c>
      <c r="O16" s="347" t="str">
        <f>'_Input Engine'!O188</f>
        <v/>
      </c>
      <c r="P16" s="347" t="str">
        <f>'_Input Engine'!P188</f>
        <v/>
      </c>
      <c r="Q16" s="15"/>
      <c r="R16" s="15"/>
      <c r="S16" s="15"/>
      <c r="T16" s="15"/>
      <c r="U16" s="15"/>
      <c r="V16" s="15"/>
      <c r="W16" s="15"/>
      <c r="X16" s="15"/>
      <c r="Y16" s="15"/>
      <c r="Z16" s="15"/>
      <c r="AA16" s="15"/>
      <c r="AB16" s="15"/>
      <c r="AC16" s="15"/>
      <c r="AD16" s="15"/>
    </row>
    <row r="17" spans="1:30" ht="28.95" customHeight="1">
      <c r="A17" s="348"/>
      <c r="B17" s="348"/>
      <c r="C17" s="349">
        <v>10</v>
      </c>
      <c r="D17" s="349">
        <v>0</v>
      </c>
      <c r="E17" s="350" t="str">
        <f>'_Input Engine'!E189</f>
        <v/>
      </c>
      <c r="F17" s="351"/>
      <c r="G17" s="351"/>
      <c r="H17" s="351"/>
      <c r="I17" s="350" t="str">
        <f>'_Input Engine'!I189</f>
        <v/>
      </c>
      <c r="J17" s="351"/>
      <c r="K17" s="351"/>
      <c r="L17" s="350" t="str">
        <f>'_Input Engine'!L189</f>
        <v/>
      </c>
      <c r="M17" s="352">
        <v>1</v>
      </c>
      <c r="N17" s="350" t="str">
        <f>'_Input Engine'!N189</f>
        <v/>
      </c>
      <c r="O17" s="347" t="str">
        <f>'_Input Engine'!O189</f>
        <v/>
      </c>
      <c r="P17" s="347" t="str">
        <f>'_Input Engine'!P189</f>
        <v/>
      </c>
      <c r="Q17" s="15"/>
      <c r="R17" s="15"/>
      <c r="S17" s="15"/>
      <c r="T17" s="15"/>
      <c r="U17" s="15"/>
      <c r="V17" s="15"/>
      <c r="W17" s="15"/>
      <c r="X17" s="15"/>
      <c r="Y17" s="15"/>
      <c r="Z17" s="15"/>
      <c r="AA17" s="15"/>
      <c r="AB17" s="15"/>
      <c r="AC17" s="15"/>
      <c r="AD17" s="15"/>
    </row>
    <row r="18" spans="1:30" ht="28.95" customHeight="1">
      <c r="A18" s="348"/>
      <c r="B18" s="348"/>
      <c r="C18" s="349">
        <v>10</v>
      </c>
      <c r="D18" s="349">
        <v>0</v>
      </c>
      <c r="E18" s="350" t="str">
        <f>'_Input Engine'!E190</f>
        <v/>
      </c>
      <c r="F18" s="351"/>
      <c r="G18" s="351"/>
      <c r="H18" s="351"/>
      <c r="I18" s="350" t="str">
        <f>'_Input Engine'!I190</f>
        <v/>
      </c>
      <c r="J18" s="351"/>
      <c r="K18" s="351"/>
      <c r="L18" s="350" t="str">
        <f>'_Input Engine'!L190</f>
        <v/>
      </c>
      <c r="M18" s="352">
        <v>1</v>
      </c>
      <c r="N18" s="350" t="str">
        <f>'_Input Engine'!N190</f>
        <v/>
      </c>
      <c r="O18" s="347" t="str">
        <f>'_Input Engine'!O190</f>
        <v/>
      </c>
      <c r="P18" s="347" t="str">
        <f>'_Input Engine'!P190</f>
        <v/>
      </c>
      <c r="Q18" s="15"/>
      <c r="R18" s="15"/>
      <c r="S18" s="15"/>
      <c r="T18" s="15"/>
      <c r="U18" s="15"/>
      <c r="V18" s="15"/>
      <c r="W18" s="15"/>
      <c r="X18" s="15"/>
      <c r="Y18" s="15"/>
      <c r="Z18" s="15"/>
      <c r="AA18" s="15"/>
      <c r="AB18" s="15"/>
      <c r="AC18" s="15"/>
      <c r="AD18" s="15"/>
    </row>
    <row r="19" spans="1:30" ht="28.95" customHeight="1">
      <c r="A19" s="348"/>
      <c r="B19" s="348"/>
      <c r="C19" s="349">
        <v>10</v>
      </c>
      <c r="D19" s="349">
        <v>0</v>
      </c>
      <c r="E19" s="350" t="str">
        <f>'_Input Engine'!E191</f>
        <v/>
      </c>
      <c r="F19" s="351"/>
      <c r="G19" s="351"/>
      <c r="H19" s="351"/>
      <c r="I19" s="350" t="str">
        <f>'_Input Engine'!I191</f>
        <v/>
      </c>
      <c r="J19" s="351"/>
      <c r="K19" s="351"/>
      <c r="L19" s="350" t="str">
        <f>'_Input Engine'!L191</f>
        <v/>
      </c>
      <c r="M19" s="352">
        <v>1</v>
      </c>
      <c r="N19" s="350" t="str">
        <f>'_Input Engine'!N191</f>
        <v/>
      </c>
      <c r="O19" s="347" t="str">
        <f>'_Input Engine'!O191</f>
        <v/>
      </c>
      <c r="P19" s="347" t="str">
        <f>'_Input Engine'!P191</f>
        <v/>
      </c>
      <c r="Q19" s="15"/>
      <c r="R19" s="15"/>
      <c r="S19" s="15"/>
      <c r="T19" s="15"/>
      <c r="U19" s="15"/>
      <c r="V19" s="15"/>
      <c r="W19" s="15"/>
      <c r="X19" s="15"/>
      <c r="Y19" s="15"/>
      <c r="Z19" s="15"/>
      <c r="AA19" s="15"/>
      <c r="AB19" s="15"/>
      <c r="AC19" s="15"/>
      <c r="AD19" s="15"/>
    </row>
    <row r="20" spans="1:30" ht="28.95" customHeight="1">
      <c r="A20" s="348"/>
      <c r="B20" s="348"/>
      <c r="C20" s="349">
        <v>10</v>
      </c>
      <c r="D20" s="349">
        <v>0</v>
      </c>
      <c r="E20" s="350" t="str">
        <f>'_Input Engine'!E192</f>
        <v/>
      </c>
      <c r="F20" s="351"/>
      <c r="G20" s="351"/>
      <c r="H20" s="351"/>
      <c r="I20" s="350" t="str">
        <f>'_Input Engine'!I192</f>
        <v/>
      </c>
      <c r="J20" s="351"/>
      <c r="K20" s="351"/>
      <c r="L20" s="350" t="str">
        <f>'_Input Engine'!L192</f>
        <v/>
      </c>
      <c r="M20" s="352">
        <v>1</v>
      </c>
      <c r="N20" s="350" t="str">
        <f>'_Input Engine'!N192</f>
        <v/>
      </c>
      <c r="O20" s="347" t="str">
        <f>'_Input Engine'!O192</f>
        <v/>
      </c>
      <c r="P20" s="347" t="str">
        <f>'_Input Engine'!P192</f>
        <v/>
      </c>
      <c r="Q20" s="15"/>
      <c r="R20" s="15"/>
      <c r="S20" s="15"/>
      <c r="T20" s="15"/>
      <c r="U20" s="15"/>
      <c r="V20" s="15"/>
      <c r="W20" s="15"/>
      <c r="X20" s="15"/>
      <c r="Y20" s="15"/>
      <c r="Z20" s="15"/>
      <c r="AA20" s="15"/>
      <c r="AB20" s="15"/>
      <c r="AC20" s="15"/>
      <c r="AD20" s="15"/>
    </row>
    <row r="21" spans="1:30" ht="28.95" customHeight="1">
      <c r="A21" s="348"/>
      <c r="B21" s="348"/>
      <c r="C21" s="349">
        <v>10</v>
      </c>
      <c r="D21" s="349">
        <v>0</v>
      </c>
      <c r="E21" s="350" t="str">
        <f>'_Input Engine'!E193</f>
        <v/>
      </c>
      <c r="F21" s="351"/>
      <c r="G21" s="351"/>
      <c r="H21" s="351"/>
      <c r="I21" s="350" t="str">
        <f>'_Input Engine'!I193</f>
        <v/>
      </c>
      <c r="J21" s="351"/>
      <c r="K21" s="351"/>
      <c r="L21" s="350" t="str">
        <f>'_Input Engine'!L193</f>
        <v/>
      </c>
      <c r="M21" s="352">
        <v>1</v>
      </c>
      <c r="N21" s="350" t="str">
        <f>'_Input Engine'!N193</f>
        <v/>
      </c>
      <c r="O21" s="347" t="str">
        <f>'_Input Engine'!O193</f>
        <v/>
      </c>
      <c r="P21" s="347" t="str">
        <f>'_Input Engine'!P193</f>
        <v/>
      </c>
      <c r="Q21" s="15"/>
      <c r="R21" s="15"/>
      <c r="S21" s="15"/>
      <c r="T21" s="15"/>
      <c r="U21" s="15"/>
      <c r="V21" s="15"/>
      <c r="W21" s="15"/>
      <c r="X21" s="15"/>
      <c r="Y21" s="15"/>
      <c r="Z21" s="15"/>
      <c r="AA21" s="15"/>
      <c r="AB21" s="15"/>
      <c r="AC21" s="15"/>
      <c r="AD21" s="15"/>
    </row>
    <row r="22" spans="1:30" ht="28.95" customHeight="1">
      <c r="A22" s="348"/>
      <c r="B22" s="348"/>
      <c r="C22" s="349">
        <v>10</v>
      </c>
      <c r="D22" s="349">
        <v>0</v>
      </c>
      <c r="E22" s="350" t="str">
        <f>'_Input Engine'!E194</f>
        <v/>
      </c>
      <c r="F22" s="351"/>
      <c r="G22" s="351"/>
      <c r="H22" s="351"/>
      <c r="I22" s="350" t="str">
        <f>'_Input Engine'!I194</f>
        <v/>
      </c>
      <c r="J22" s="351"/>
      <c r="K22" s="351"/>
      <c r="L22" s="350" t="str">
        <f>'_Input Engine'!L194</f>
        <v/>
      </c>
      <c r="M22" s="352">
        <v>1</v>
      </c>
      <c r="N22" s="350" t="str">
        <f>'_Input Engine'!N194</f>
        <v/>
      </c>
      <c r="O22" s="347" t="str">
        <f>'_Input Engine'!O194</f>
        <v/>
      </c>
      <c r="P22" s="347" t="str">
        <f>'_Input Engine'!P194</f>
        <v/>
      </c>
      <c r="Q22" s="15"/>
      <c r="R22" s="15"/>
      <c r="S22" s="15"/>
      <c r="T22" s="15"/>
      <c r="U22" s="15"/>
      <c r="V22" s="15"/>
      <c r="W22" s="15"/>
      <c r="X22" s="15"/>
      <c r="Y22" s="15"/>
      <c r="Z22" s="15"/>
      <c r="AA22" s="15"/>
      <c r="AB22" s="15"/>
      <c r="AC22" s="15"/>
      <c r="AD22" s="15"/>
    </row>
    <row r="23" spans="1:30" ht="28.95" customHeight="1">
      <c r="A23" s="348"/>
      <c r="B23" s="348"/>
      <c r="C23" s="349">
        <v>10</v>
      </c>
      <c r="D23" s="349">
        <v>0</v>
      </c>
      <c r="E23" s="350" t="str">
        <f>'_Input Engine'!E195</f>
        <v/>
      </c>
      <c r="F23" s="351"/>
      <c r="G23" s="351"/>
      <c r="H23" s="351"/>
      <c r="I23" s="350" t="str">
        <f>'_Input Engine'!I195</f>
        <v/>
      </c>
      <c r="J23" s="351"/>
      <c r="K23" s="351"/>
      <c r="L23" s="350" t="str">
        <f>'_Input Engine'!L195</f>
        <v/>
      </c>
      <c r="M23" s="352">
        <v>1</v>
      </c>
      <c r="N23" s="350" t="str">
        <f>'_Input Engine'!N195</f>
        <v/>
      </c>
      <c r="O23" s="347" t="str">
        <f>'_Input Engine'!O195</f>
        <v/>
      </c>
      <c r="P23" s="347" t="str">
        <f>'_Input Engine'!P195</f>
        <v/>
      </c>
      <c r="Q23" s="15"/>
      <c r="R23" s="15"/>
      <c r="S23" s="15"/>
      <c r="T23" s="15"/>
      <c r="U23" s="15"/>
      <c r="V23" s="15"/>
      <c r="W23" s="15"/>
      <c r="X23" s="15"/>
      <c r="Y23" s="15"/>
      <c r="Z23" s="15"/>
      <c r="AA23" s="15"/>
      <c r="AB23" s="15"/>
      <c r="AC23" s="15"/>
      <c r="AD23" s="15"/>
    </row>
    <row r="24" spans="1:30" ht="28.95" customHeight="1">
      <c r="A24" s="348"/>
      <c r="B24" s="348"/>
      <c r="C24" s="349">
        <v>10</v>
      </c>
      <c r="D24" s="349">
        <v>0</v>
      </c>
      <c r="E24" s="350" t="str">
        <f>'_Input Engine'!E196</f>
        <v/>
      </c>
      <c r="F24" s="351"/>
      <c r="G24" s="351"/>
      <c r="H24" s="351"/>
      <c r="I24" s="350" t="str">
        <f>'_Input Engine'!I196</f>
        <v/>
      </c>
      <c r="J24" s="351"/>
      <c r="K24" s="351"/>
      <c r="L24" s="350" t="str">
        <f>'_Input Engine'!L196</f>
        <v/>
      </c>
      <c r="M24" s="352">
        <v>1</v>
      </c>
      <c r="N24" s="350" t="str">
        <f>'_Input Engine'!N196</f>
        <v/>
      </c>
      <c r="O24" s="347" t="str">
        <f>'_Input Engine'!O196</f>
        <v/>
      </c>
      <c r="P24" s="347" t="str">
        <f>'_Input Engine'!P196</f>
        <v/>
      </c>
      <c r="Q24" s="15"/>
      <c r="R24" s="15"/>
      <c r="S24" s="15"/>
      <c r="T24" s="15"/>
      <c r="U24" s="15"/>
      <c r="V24" s="15"/>
      <c r="W24" s="15"/>
      <c r="X24" s="15"/>
      <c r="Y24" s="15"/>
      <c r="Z24" s="15"/>
      <c r="AA24" s="15"/>
      <c r="AB24" s="15"/>
      <c r="AC24" s="15"/>
      <c r="AD24" s="15"/>
    </row>
    <row r="25" spans="1:30" ht="28.95" customHeight="1">
      <c r="A25" s="348"/>
      <c r="B25" s="348"/>
      <c r="C25" s="349">
        <v>10</v>
      </c>
      <c r="D25" s="349">
        <v>0</v>
      </c>
      <c r="E25" s="350" t="str">
        <f>'_Input Engine'!E197</f>
        <v/>
      </c>
      <c r="F25" s="351"/>
      <c r="G25" s="351"/>
      <c r="H25" s="351"/>
      <c r="I25" s="350" t="str">
        <f>'_Input Engine'!I197</f>
        <v/>
      </c>
      <c r="J25" s="351"/>
      <c r="K25" s="351"/>
      <c r="L25" s="350" t="str">
        <f>'_Input Engine'!L197</f>
        <v/>
      </c>
      <c r="M25" s="352">
        <v>1</v>
      </c>
      <c r="N25" s="350" t="str">
        <f>'_Input Engine'!N197</f>
        <v/>
      </c>
      <c r="O25" s="347" t="str">
        <f>'_Input Engine'!O197</f>
        <v/>
      </c>
      <c r="P25" s="347" t="str">
        <f>'_Input Engine'!P197</f>
        <v/>
      </c>
      <c r="Q25" s="15"/>
      <c r="R25" s="15"/>
      <c r="S25" s="15"/>
      <c r="T25" s="15"/>
      <c r="U25" s="15"/>
      <c r="V25" s="15"/>
      <c r="W25" s="15"/>
      <c r="X25" s="15"/>
      <c r="Y25" s="15"/>
      <c r="Z25" s="15"/>
      <c r="AA25" s="15"/>
      <c r="AB25" s="15"/>
      <c r="AC25" s="15"/>
      <c r="AD25" s="15"/>
    </row>
    <row r="26" spans="1:30" ht="28.95" customHeight="1">
      <c r="A26" s="348"/>
      <c r="B26" s="348"/>
      <c r="C26" s="349">
        <v>10</v>
      </c>
      <c r="D26" s="349">
        <v>0</v>
      </c>
      <c r="E26" s="350" t="str">
        <f>'_Input Engine'!E198</f>
        <v/>
      </c>
      <c r="F26" s="351"/>
      <c r="G26" s="351"/>
      <c r="H26" s="351"/>
      <c r="I26" s="350" t="str">
        <f>'_Input Engine'!I198</f>
        <v/>
      </c>
      <c r="J26" s="351"/>
      <c r="K26" s="351"/>
      <c r="L26" s="350" t="str">
        <f>'_Input Engine'!L198</f>
        <v/>
      </c>
      <c r="M26" s="352">
        <v>1</v>
      </c>
      <c r="N26" s="350" t="str">
        <f>'_Input Engine'!N198</f>
        <v/>
      </c>
      <c r="O26" s="347" t="str">
        <f>'_Input Engine'!O198</f>
        <v/>
      </c>
      <c r="P26" s="347" t="str">
        <f>'_Input Engine'!P198</f>
        <v/>
      </c>
      <c r="Q26" s="15"/>
      <c r="R26" s="15"/>
      <c r="S26" s="15"/>
      <c r="T26" s="15"/>
      <c r="U26" s="15"/>
      <c r="V26" s="15"/>
      <c r="W26" s="15"/>
      <c r="X26" s="15"/>
      <c r="Y26" s="15"/>
      <c r="Z26" s="15"/>
      <c r="AA26" s="15"/>
      <c r="AB26" s="15"/>
      <c r="AC26" s="15"/>
      <c r="AD26" s="15"/>
    </row>
    <row r="27" spans="1:30" ht="28.95" customHeight="1">
      <c r="A27" s="348"/>
      <c r="B27" s="348"/>
      <c r="C27" s="349">
        <v>10</v>
      </c>
      <c r="D27" s="349">
        <v>0</v>
      </c>
      <c r="E27" s="350" t="str">
        <f>'_Input Engine'!E199</f>
        <v/>
      </c>
      <c r="F27" s="351"/>
      <c r="G27" s="351"/>
      <c r="H27" s="351"/>
      <c r="I27" s="350" t="str">
        <f>'_Input Engine'!I199</f>
        <v/>
      </c>
      <c r="J27" s="351"/>
      <c r="K27" s="351"/>
      <c r="L27" s="350" t="str">
        <f>'_Input Engine'!L199</f>
        <v/>
      </c>
      <c r="M27" s="352">
        <v>1</v>
      </c>
      <c r="N27" s="350" t="str">
        <f>'_Input Engine'!N199</f>
        <v/>
      </c>
      <c r="O27" s="347" t="str">
        <f>'_Input Engine'!O199</f>
        <v/>
      </c>
      <c r="P27" s="347" t="str">
        <f>'_Input Engine'!P199</f>
        <v/>
      </c>
      <c r="Q27" s="15"/>
      <c r="R27" s="15"/>
      <c r="S27" s="15"/>
      <c r="T27" s="15"/>
      <c r="U27" s="15"/>
      <c r="V27" s="15"/>
      <c r="W27" s="15"/>
      <c r="X27" s="15"/>
      <c r="Y27" s="15"/>
      <c r="Z27" s="15"/>
      <c r="AA27" s="15"/>
      <c r="AB27" s="15"/>
      <c r="AC27" s="15"/>
      <c r="AD27" s="15"/>
    </row>
    <row r="28" spans="1:30" ht="28.95" customHeight="1">
      <c r="A28" s="348"/>
      <c r="B28" s="348"/>
      <c r="C28" s="349">
        <v>10</v>
      </c>
      <c r="D28" s="349">
        <v>0</v>
      </c>
      <c r="E28" s="350" t="str">
        <f>'_Input Engine'!E200</f>
        <v/>
      </c>
      <c r="F28" s="351"/>
      <c r="G28" s="351"/>
      <c r="H28" s="351"/>
      <c r="I28" s="350" t="str">
        <f>'_Input Engine'!I200</f>
        <v/>
      </c>
      <c r="J28" s="351"/>
      <c r="K28" s="351"/>
      <c r="L28" s="350" t="str">
        <f>'_Input Engine'!L200</f>
        <v/>
      </c>
      <c r="M28" s="352">
        <v>1</v>
      </c>
      <c r="N28" s="350" t="str">
        <f>'_Input Engine'!N200</f>
        <v/>
      </c>
      <c r="O28" s="347" t="str">
        <f>'_Input Engine'!O200</f>
        <v/>
      </c>
      <c r="P28" s="347" t="str">
        <f>'_Input Engine'!P200</f>
        <v/>
      </c>
      <c r="Q28" s="15"/>
      <c r="R28" s="15"/>
      <c r="S28" s="15"/>
      <c r="T28" s="15"/>
      <c r="U28" s="15"/>
      <c r="V28" s="15"/>
      <c r="W28" s="15"/>
      <c r="X28" s="15"/>
      <c r="Y28" s="15"/>
      <c r="Z28" s="15"/>
      <c r="AA28" s="15"/>
      <c r="AB28" s="15"/>
      <c r="AC28" s="15"/>
      <c r="AD28" s="15"/>
    </row>
    <row r="29" spans="1:30" ht="22.95"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22.9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row>
    <row r="31" spans="1:30" ht="27" customHeight="1">
      <c r="A31" s="393" t="s">
        <v>1119</v>
      </c>
      <c r="B31" s="393"/>
      <c r="C31" s="393"/>
      <c r="D31" s="393"/>
      <c r="E31" s="393"/>
      <c r="F31" s="393"/>
      <c r="G31" s="393"/>
      <c r="H31" s="393"/>
      <c r="I31" s="393"/>
      <c r="J31" s="393"/>
      <c r="K31" s="393"/>
      <c r="L31" s="393"/>
      <c r="M31" s="393"/>
      <c r="N31" s="393"/>
      <c r="O31" s="393"/>
      <c r="P31" s="393"/>
      <c r="Q31" s="15"/>
      <c r="R31" s="15"/>
      <c r="S31" s="15"/>
      <c r="T31" s="15"/>
      <c r="U31" s="15"/>
      <c r="V31" s="15"/>
      <c r="W31" s="15"/>
      <c r="X31" s="15"/>
      <c r="Y31" s="15"/>
      <c r="Z31" s="15"/>
      <c r="AA31" s="15"/>
      <c r="AB31" s="15"/>
      <c r="AC31" s="15"/>
      <c r="AD31" s="15"/>
    </row>
    <row r="32" spans="1:30" ht="28.95" customHeight="1">
      <c r="A32" s="405" t="s">
        <v>1120</v>
      </c>
      <c r="B32" s="405"/>
      <c r="C32" s="405"/>
      <c r="D32" s="405"/>
      <c r="E32" s="405"/>
      <c r="F32" s="405"/>
      <c r="G32" s="405"/>
      <c r="H32" s="405"/>
      <c r="I32" s="405"/>
      <c r="J32" s="405"/>
      <c r="K32" s="405"/>
      <c r="L32" s="405"/>
      <c r="M32" s="405"/>
      <c r="N32" s="405"/>
      <c r="O32" s="405"/>
      <c r="P32" s="405"/>
      <c r="Q32" s="15"/>
      <c r="R32" s="15"/>
      <c r="S32" s="15"/>
      <c r="T32" s="15"/>
      <c r="U32" s="15"/>
      <c r="V32" s="15"/>
      <c r="W32" s="15"/>
      <c r="X32" s="15"/>
      <c r="Y32" s="15"/>
      <c r="Z32" s="15"/>
      <c r="AA32" s="15"/>
      <c r="AB32" s="15"/>
      <c r="AC32" s="15"/>
      <c r="AD32" s="15"/>
    </row>
    <row r="33" spans="1:30" ht="43.95" customHeight="1">
      <c r="A33" s="105" t="s">
        <v>816</v>
      </c>
      <c r="B33" s="105" t="s">
        <v>817</v>
      </c>
      <c r="C33" s="105" t="s">
        <v>818</v>
      </c>
      <c r="D33" s="105" t="s">
        <v>819</v>
      </c>
      <c r="E33" s="105" t="s">
        <v>491</v>
      </c>
      <c r="F33" s="105" t="s">
        <v>333</v>
      </c>
      <c r="G33" s="105" t="s">
        <v>820</v>
      </c>
      <c r="H33" s="105" t="s">
        <v>127</v>
      </c>
      <c r="I33" s="105" t="s">
        <v>755</v>
      </c>
      <c r="J33" s="375" t="s">
        <v>1154</v>
      </c>
      <c r="K33" s="375" t="s">
        <v>105</v>
      </c>
      <c r="L33" s="375" t="s">
        <v>1155</v>
      </c>
      <c r="M33" s="15"/>
      <c r="N33" s="15"/>
      <c r="O33" s="15"/>
      <c r="P33" s="15"/>
      <c r="Q33" s="15"/>
      <c r="R33" s="15"/>
      <c r="S33" s="15"/>
      <c r="T33" s="15"/>
      <c r="U33" s="15"/>
      <c r="V33" s="15"/>
      <c r="W33" s="15"/>
      <c r="X33" s="15"/>
      <c r="Y33" s="15"/>
      <c r="Z33" s="15"/>
      <c r="AA33" s="15"/>
      <c r="AB33" s="15"/>
      <c r="AC33" s="15"/>
      <c r="AD33" s="15"/>
    </row>
    <row r="34" spans="1:30" ht="30" customHeight="1">
      <c r="A34" s="198" t="s">
        <v>110</v>
      </c>
      <c r="B34" s="107"/>
      <c r="C34" s="108"/>
      <c r="D34" s="107"/>
      <c r="E34" s="107"/>
      <c r="F34" s="191" t="str">
        <f>'_Input Engine'!F11</f>
        <v/>
      </c>
      <c r="G34" s="199" t="s">
        <v>204</v>
      </c>
      <c r="H34" s="107"/>
      <c r="I34" s="189" t="str">
        <f>'_Input Engine'!I11</f>
        <v>UNUSED</v>
      </c>
      <c r="J34" s="376" t="str">
        <f>IF(COUNTIFS('Section A Beam Slab'!$S$6:$S$75,11,'Section A Beam Slab'!$T$6:$T$75,"SLAB",'Section A Beam Slab'!$F$6:$F$75,"&lt;&gt;")=0,"",SUMIFS('Section A Beam Slab'!$F$6:$F$75,'Section A Beam Slab'!$S$6:$S$75,11,'Section A Beam Slab'!$T$6:$T$75,"SLAB"))</f>
        <v/>
      </c>
      <c r="K34" s="376" t="str">
        <f>IF(COUNTIFS('Section A Beam Slab'!$S$6:$S$75,11,'Section A Beam Slab'!$T$6:$T$75,"SLAB",'Section A Beam Slab'!$G$6:$G$75,"&lt;&gt;")=0,"",SUMIFS('Section A Beam Slab'!$G$6:$G$75,'Section A Beam Slab'!$S$6:$S$75,11,'Section A Beam Slab'!$T$6:$T$75,"SLAB"))</f>
        <v/>
      </c>
      <c r="L34" s="377" t="str">
        <f>IFERROR(SUBSTITUTE(SUBSTITUTE(INDEX('Section A Beam Slab'!$H$6:$H$75,MATCH(1,INDEX(('Section A Beam Slab'!$S$6:$S$75=11)*('Section A Beam Slab'!$T$6:$T$75="SLAB"),0),0)),"NOT OKAY","NOT OK"),"OKAY","OK"),"")</f>
        <v/>
      </c>
      <c r="M34" s="15"/>
      <c r="N34" s="15"/>
      <c r="O34" s="15"/>
      <c r="P34" s="15"/>
      <c r="Q34" s="15"/>
      <c r="R34" s="15"/>
      <c r="S34" s="15"/>
      <c r="T34" s="15"/>
      <c r="U34" s="15"/>
      <c r="V34" s="15"/>
      <c r="W34" s="15"/>
      <c r="X34" s="15"/>
      <c r="Y34" s="15"/>
      <c r="Z34" s="15"/>
      <c r="AA34" s="15"/>
      <c r="AB34" s="15"/>
      <c r="AC34" s="15"/>
      <c r="AD34" s="15"/>
    </row>
    <row r="35" spans="1:30" ht="30" customHeight="1">
      <c r="A35" s="198" t="s">
        <v>834</v>
      </c>
      <c r="B35" s="107"/>
      <c r="C35" s="108"/>
      <c r="D35" s="107"/>
      <c r="E35" s="107"/>
      <c r="F35" s="191" t="str">
        <f>'_Input Engine'!F12</f>
        <v/>
      </c>
      <c r="G35" s="199" t="s">
        <v>204</v>
      </c>
      <c r="H35" s="107"/>
      <c r="I35" s="189" t="str">
        <f>'_Input Engine'!I12</f>
        <v>UNUSED</v>
      </c>
      <c r="J35" s="376" t="str">
        <f>IF(COUNTIFS('Section A Beam Slab'!$S$6:$S$75,12,'Section A Beam Slab'!$T$6:$T$75,"SLAB",'Section A Beam Slab'!$F$6:$F$75,"&lt;&gt;")=0,"",SUMIFS('Section A Beam Slab'!$F$6:$F$75,'Section A Beam Slab'!$S$6:$S$75,12,'Section A Beam Slab'!$T$6:$T$75,"SLAB"))</f>
        <v/>
      </c>
      <c r="K35" s="376" t="str">
        <f>IF(COUNTIFS('Section A Beam Slab'!$S$6:$S$75,12,'Section A Beam Slab'!$T$6:$T$75,"SLAB",'Section A Beam Slab'!$G$6:$G$75,"&lt;&gt;")=0,"",SUMIFS('Section A Beam Slab'!$G$6:$G$75,'Section A Beam Slab'!$S$6:$S$75,12,'Section A Beam Slab'!$T$6:$T$75,"SLAB"))</f>
        <v/>
      </c>
      <c r="L35" s="377" t="str">
        <f>IFERROR(SUBSTITUTE(SUBSTITUTE(INDEX('Section A Beam Slab'!$H$6:$H$75,MATCH(1,INDEX(('Section A Beam Slab'!$S$6:$S$75=12)*('Section A Beam Slab'!$T$6:$T$75="SLAB"),0),0)),"NOT OKAY","NOT OK"),"OKAY","OK"),"")</f>
        <v/>
      </c>
      <c r="M35" s="15"/>
      <c r="N35" s="15"/>
      <c r="O35" s="15"/>
      <c r="P35" s="15"/>
      <c r="Q35" s="15"/>
      <c r="R35" s="15"/>
      <c r="S35" s="15"/>
      <c r="T35" s="15"/>
      <c r="U35" s="15"/>
      <c r="V35" s="15"/>
      <c r="W35" s="15"/>
      <c r="X35" s="15"/>
      <c r="Y35" s="15"/>
      <c r="Z35" s="15"/>
      <c r="AA35" s="15"/>
      <c r="AB35" s="15"/>
      <c r="AC35" s="15"/>
      <c r="AD35" s="15"/>
    </row>
    <row r="36" spans="1:30" ht="30" customHeight="1">
      <c r="A36" s="198" t="s">
        <v>835</v>
      </c>
      <c r="B36" s="107"/>
      <c r="C36" s="108"/>
      <c r="D36" s="107"/>
      <c r="E36" s="107"/>
      <c r="F36" s="191" t="str">
        <f>'_Input Engine'!F13</f>
        <v/>
      </c>
      <c r="G36" s="199" t="s">
        <v>204</v>
      </c>
      <c r="H36" s="107"/>
      <c r="I36" s="189" t="str">
        <f>'_Input Engine'!I13</f>
        <v>UNUSED</v>
      </c>
      <c r="J36" s="376" t="str">
        <f>IF(COUNTIFS('Section A Beam Slab'!$S$6:$S$75,13,'Section A Beam Slab'!$T$6:$T$75,"SLAB",'Section A Beam Slab'!$F$6:$F$75,"&lt;&gt;")=0,"",SUMIFS('Section A Beam Slab'!$F$6:$F$75,'Section A Beam Slab'!$S$6:$S$75,13,'Section A Beam Slab'!$T$6:$T$75,"SLAB"))</f>
        <v/>
      </c>
      <c r="K36" s="376" t="str">
        <f>IF(COUNTIFS('Section A Beam Slab'!$S$6:$S$75,13,'Section A Beam Slab'!$T$6:$T$75,"SLAB",'Section A Beam Slab'!$G$6:$G$75,"&lt;&gt;")=0,"",SUMIFS('Section A Beam Slab'!$G$6:$G$75,'Section A Beam Slab'!$S$6:$S$75,13,'Section A Beam Slab'!$T$6:$T$75,"SLAB"))</f>
        <v/>
      </c>
      <c r="L36" s="377" t="str">
        <f>IFERROR(SUBSTITUTE(SUBSTITUTE(INDEX('Section A Beam Slab'!$H$6:$H$75,MATCH(1,INDEX(('Section A Beam Slab'!$S$6:$S$75=13)*('Section A Beam Slab'!$T$6:$T$75="SLAB"),0),0)),"NOT OKAY","NOT OK"),"OKAY","OK"),"")</f>
        <v/>
      </c>
      <c r="M36" s="15"/>
      <c r="N36" s="15"/>
      <c r="O36" s="15"/>
      <c r="P36" s="15"/>
      <c r="Q36" s="15"/>
      <c r="R36" s="15"/>
      <c r="S36" s="15"/>
      <c r="T36" s="15"/>
      <c r="U36" s="15"/>
      <c r="V36" s="15"/>
      <c r="W36" s="15"/>
      <c r="X36" s="15"/>
      <c r="Y36" s="15"/>
      <c r="Z36" s="15"/>
      <c r="AA36" s="15"/>
      <c r="AB36" s="15"/>
      <c r="AC36" s="15"/>
      <c r="AD36" s="15"/>
    </row>
    <row r="37" spans="1:30" ht="30" customHeight="1">
      <c r="A37" s="198" t="s">
        <v>836</v>
      </c>
      <c r="B37" s="107"/>
      <c r="C37" s="108"/>
      <c r="D37" s="107"/>
      <c r="E37" s="107"/>
      <c r="F37" s="191" t="str">
        <f>'_Input Engine'!F14</f>
        <v/>
      </c>
      <c r="G37" s="199" t="s">
        <v>204</v>
      </c>
      <c r="H37" s="107"/>
      <c r="I37" s="189" t="str">
        <f>'_Input Engine'!I14</f>
        <v>UNUSED</v>
      </c>
      <c r="J37" s="376" t="str">
        <f>IF(COUNTIFS('Section A Beam Slab'!$S$6:$S$75,14,'Section A Beam Slab'!$T$6:$T$75,"SLAB",'Section A Beam Slab'!$F$6:$F$75,"&lt;&gt;")=0,"",SUMIFS('Section A Beam Slab'!$F$6:$F$75,'Section A Beam Slab'!$S$6:$S$75,14,'Section A Beam Slab'!$T$6:$T$75,"SLAB"))</f>
        <v/>
      </c>
      <c r="K37" s="376" t="str">
        <f>IF(COUNTIFS('Section A Beam Slab'!$S$6:$S$75,14,'Section A Beam Slab'!$T$6:$T$75,"SLAB",'Section A Beam Slab'!$G$6:$G$75,"&lt;&gt;")=0,"",SUMIFS('Section A Beam Slab'!$G$6:$G$75,'Section A Beam Slab'!$S$6:$S$75,14,'Section A Beam Slab'!$T$6:$T$75,"SLAB"))</f>
        <v/>
      </c>
      <c r="L37" s="377" t="str">
        <f>IFERROR(SUBSTITUTE(SUBSTITUTE(INDEX('Section A Beam Slab'!$H$6:$H$75,MATCH(1,INDEX(('Section A Beam Slab'!$S$6:$S$75=14)*('Section A Beam Slab'!$T$6:$T$75="SLAB"),0),0)),"NOT OKAY","NOT OK"),"OKAY","OK"),"")</f>
        <v/>
      </c>
      <c r="M37" s="15"/>
      <c r="N37" s="15"/>
      <c r="O37" s="15"/>
      <c r="P37" s="15"/>
      <c r="Q37" s="15"/>
      <c r="R37" s="15"/>
      <c r="S37" s="15"/>
      <c r="T37" s="15"/>
      <c r="U37" s="15"/>
      <c r="V37" s="15"/>
      <c r="W37" s="15"/>
      <c r="X37" s="15"/>
      <c r="Y37" s="15"/>
      <c r="Z37" s="15"/>
      <c r="AA37" s="15"/>
      <c r="AB37" s="15"/>
      <c r="AC37" s="15"/>
      <c r="AD37" s="15"/>
    </row>
    <row r="38" spans="1:30" ht="30" customHeight="1">
      <c r="A38" s="198" t="s">
        <v>837</v>
      </c>
      <c r="B38" s="107"/>
      <c r="C38" s="108"/>
      <c r="D38" s="107"/>
      <c r="E38" s="107"/>
      <c r="F38" s="191" t="str">
        <f>'_Input Engine'!F15</f>
        <v/>
      </c>
      <c r="G38" s="199" t="s">
        <v>204</v>
      </c>
      <c r="H38" s="107"/>
      <c r="I38" s="189" t="str">
        <f>'_Input Engine'!I15</f>
        <v>UNUSED</v>
      </c>
      <c r="J38" s="376" t="str">
        <f>IF(COUNTIFS('Section A Beam Slab'!$S$6:$S$75,15,'Section A Beam Slab'!$T$6:$T$75,"SLAB",'Section A Beam Slab'!$F$6:$F$75,"&lt;&gt;")=0,"",SUMIFS('Section A Beam Slab'!$F$6:$F$75,'Section A Beam Slab'!$S$6:$S$75,15,'Section A Beam Slab'!$T$6:$T$75,"SLAB"))</f>
        <v/>
      </c>
      <c r="K38" s="376" t="str">
        <f>IF(COUNTIFS('Section A Beam Slab'!$S$6:$S$75,15,'Section A Beam Slab'!$T$6:$T$75,"SLAB",'Section A Beam Slab'!$G$6:$G$75,"&lt;&gt;")=0,"",SUMIFS('Section A Beam Slab'!$G$6:$G$75,'Section A Beam Slab'!$S$6:$S$75,15,'Section A Beam Slab'!$T$6:$T$75,"SLAB"))</f>
        <v/>
      </c>
      <c r="L38" s="377" t="str">
        <f>IFERROR(SUBSTITUTE(SUBSTITUTE(INDEX('Section A Beam Slab'!$H$6:$H$75,MATCH(1,INDEX(('Section A Beam Slab'!$S$6:$S$75=15)*('Section A Beam Slab'!$T$6:$T$75="SLAB"),0),0)),"NOT OKAY","NOT OK"),"OKAY","OK"),"")</f>
        <v/>
      </c>
      <c r="M38" s="15"/>
      <c r="N38" s="15"/>
      <c r="O38" s="15"/>
      <c r="P38" s="15"/>
      <c r="Q38" s="15"/>
      <c r="R38" s="15"/>
      <c r="S38" s="15"/>
      <c r="T38" s="15"/>
      <c r="U38" s="15"/>
      <c r="V38" s="15"/>
      <c r="W38" s="15"/>
      <c r="X38" s="15"/>
      <c r="Y38" s="15"/>
      <c r="Z38" s="15"/>
      <c r="AA38" s="15"/>
      <c r="AB38" s="15"/>
      <c r="AC38" s="15"/>
      <c r="AD38" s="15"/>
    </row>
    <row r="39" spans="1:30" ht="30" customHeight="1">
      <c r="A39" s="198" t="s">
        <v>838</v>
      </c>
      <c r="B39" s="107"/>
      <c r="C39" s="108"/>
      <c r="D39" s="107"/>
      <c r="E39" s="107"/>
      <c r="F39" s="191" t="str">
        <f>'_Input Engine'!F16</f>
        <v/>
      </c>
      <c r="G39" s="199" t="s">
        <v>204</v>
      </c>
      <c r="H39" s="107"/>
      <c r="I39" s="189" t="str">
        <f>'_Input Engine'!I16</f>
        <v>UNUSED</v>
      </c>
      <c r="J39" s="376" t="str">
        <f>IF(COUNTIFS('Section A Beam Slab'!$S$6:$S$75,16,'Section A Beam Slab'!$T$6:$T$75,"SLAB",'Section A Beam Slab'!$F$6:$F$75,"&lt;&gt;")=0,"",SUMIFS('Section A Beam Slab'!$F$6:$F$75,'Section A Beam Slab'!$S$6:$S$75,16,'Section A Beam Slab'!$T$6:$T$75,"SLAB"))</f>
        <v/>
      </c>
      <c r="K39" s="376" t="str">
        <f>IF(COUNTIFS('Section A Beam Slab'!$S$6:$S$75,16,'Section A Beam Slab'!$T$6:$T$75,"SLAB",'Section A Beam Slab'!$G$6:$G$75,"&lt;&gt;")=0,"",SUMIFS('Section A Beam Slab'!$G$6:$G$75,'Section A Beam Slab'!$S$6:$S$75,16,'Section A Beam Slab'!$T$6:$T$75,"SLAB"))</f>
        <v/>
      </c>
      <c r="L39" s="377" t="str">
        <f>IFERROR(SUBSTITUTE(SUBSTITUTE(INDEX('Section A Beam Slab'!$H$6:$H$75,MATCH(1,INDEX(('Section A Beam Slab'!$S$6:$S$75=16)*('Section A Beam Slab'!$T$6:$T$75="SLAB"),0),0)),"NOT OKAY","NOT OK"),"OKAY","OK"),"")</f>
        <v/>
      </c>
      <c r="M39" s="15"/>
      <c r="N39" s="15"/>
      <c r="O39" s="15"/>
      <c r="P39" s="15"/>
      <c r="Q39" s="15"/>
      <c r="R39" s="15"/>
      <c r="S39" s="15"/>
      <c r="T39" s="15"/>
      <c r="U39" s="15"/>
      <c r="V39" s="15"/>
      <c r="W39" s="15"/>
      <c r="X39" s="15"/>
      <c r="Y39" s="15"/>
      <c r="Z39" s="15"/>
      <c r="AA39" s="15"/>
      <c r="AB39" s="15"/>
      <c r="AC39" s="15"/>
      <c r="AD39" s="15"/>
    </row>
    <row r="40" spans="1:30" ht="30" customHeight="1">
      <c r="A40" s="198" t="s">
        <v>839</v>
      </c>
      <c r="B40" s="107"/>
      <c r="C40" s="108"/>
      <c r="D40" s="107"/>
      <c r="E40" s="107"/>
      <c r="F40" s="191" t="str">
        <f>'_Input Engine'!F17</f>
        <v/>
      </c>
      <c r="G40" s="199" t="s">
        <v>204</v>
      </c>
      <c r="H40" s="107"/>
      <c r="I40" s="189" t="str">
        <f>'_Input Engine'!I17</f>
        <v>UNUSED</v>
      </c>
      <c r="J40" s="376" t="str">
        <f>IF(COUNTIFS('Section A Beam Slab'!$S$6:$S$75,17,'Section A Beam Slab'!$T$6:$T$75,"SLAB",'Section A Beam Slab'!$F$6:$F$75,"&lt;&gt;")=0,"",SUMIFS('Section A Beam Slab'!$F$6:$F$75,'Section A Beam Slab'!$S$6:$S$75,17,'Section A Beam Slab'!$T$6:$T$75,"SLAB"))</f>
        <v/>
      </c>
      <c r="K40" s="376" t="str">
        <f>IF(COUNTIFS('Section A Beam Slab'!$S$6:$S$75,17,'Section A Beam Slab'!$T$6:$T$75,"SLAB",'Section A Beam Slab'!$G$6:$G$75,"&lt;&gt;")=0,"",SUMIFS('Section A Beam Slab'!$G$6:$G$75,'Section A Beam Slab'!$S$6:$S$75,17,'Section A Beam Slab'!$T$6:$T$75,"SLAB"))</f>
        <v/>
      </c>
      <c r="L40" s="377" t="str">
        <f>IFERROR(SUBSTITUTE(SUBSTITUTE(INDEX('Section A Beam Slab'!$H$6:$H$75,MATCH(1,INDEX(('Section A Beam Slab'!$S$6:$S$75=17)*('Section A Beam Slab'!$T$6:$T$75="SLAB"),0),0)),"NOT OKAY","NOT OK"),"OKAY","OK"),"")</f>
        <v/>
      </c>
      <c r="M40" s="15"/>
      <c r="N40" s="15"/>
      <c r="O40" s="15"/>
      <c r="P40" s="15"/>
      <c r="Q40" s="15"/>
      <c r="R40" s="15"/>
      <c r="S40" s="15"/>
      <c r="T40" s="15"/>
      <c r="U40" s="15"/>
      <c r="V40" s="15"/>
      <c r="W40" s="15"/>
      <c r="X40" s="15"/>
      <c r="Y40" s="15"/>
      <c r="Z40" s="15"/>
      <c r="AA40" s="15"/>
      <c r="AB40" s="15"/>
      <c r="AC40" s="15"/>
      <c r="AD40" s="15"/>
    </row>
    <row r="41" spans="1:30" ht="30" customHeight="1">
      <c r="A41" s="198" t="s">
        <v>840</v>
      </c>
      <c r="B41" s="107"/>
      <c r="C41" s="108"/>
      <c r="D41" s="107"/>
      <c r="E41" s="107"/>
      <c r="F41" s="191" t="str">
        <f>'_Input Engine'!F18</f>
        <v/>
      </c>
      <c r="G41" s="199" t="s">
        <v>204</v>
      </c>
      <c r="H41" s="107"/>
      <c r="I41" s="189" t="str">
        <f>'_Input Engine'!I18</f>
        <v>UNUSED</v>
      </c>
      <c r="J41" s="376" t="str">
        <f>IF(COUNTIFS('Section A Beam Slab'!$S$6:$S$75,18,'Section A Beam Slab'!$T$6:$T$75,"SLAB",'Section A Beam Slab'!$F$6:$F$75,"&lt;&gt;")=0,"",SUMIFS('Section A Beam Slab'!$F$6:$F$75,'Section A Beam Slab'!$S$6:$S$75,18,'Section A Beam Slab'!$T$6:$T$75,"SLAB"))</f>
        <v/>
      </c>
      <c r="K41" s="376" t="str">
        <f>IF(COUNTIFS('Section A Beam Slab'!$S$6:$S$75,18,'Section A Beam Slab'!$T$6:$T$75,"SLAB",'Section A Beam Slab'!$G$6:$G$75,"&lt;&gt;")=0,"",SUMIFS('Section A Beam Slab'!$G$6:$G$75,'Section A Beam Slab'!$S$6:$S$75,18,'Section A Beam Slab'!$T$6:$T$75,"SLAB"))</f>
        <v/>
      </c>
      <c r="L41" s="377" t="str">
        <f>IFERROR(SUBSTITUTE(SUBSTITUTE(INDEX('Section A Beam Slab'!$H$6:$H$75,MATCH(1,INDEX(('Section A Beam Slab'!$S$6:$S$75=18)*('Section A Beam Slab'!$T$6:$T$75="SLAB"),0),0)),"NOT OKAY","NOT OK"),"OKAY","OK"),"")</f>
        <v/>
      </c>
      <c r="M41" s="15"/>
      <c r="N41" s="15"/>
      <c r="O41" s="15"/>
      <c r="P41" s="15"/>
      <c r="Q41" s="15"/>
      <c r="R41" s="15"/>
      <c r="S41" s="15"/>
      <c r="T41" s="15"/>
      <c r="U41" s="15"/>
      <c r="V41" s="15"/>
      <c r="W41" s="15"/>
      <c r="X41" s="15"/>
      <c r="Y41" s="15"/>
      <c r="Z41" s="15"/>
      <c r="AA41" s="15"/>
      <c r="AB41" s="15"/>
      <c r="AC41" s="15"/>
      <c r="AD41" s="15"/>
    </row>
    <row r="42" spans="1:30" ht="30" customHeight="1">
      <c r="A42" s="198" t="s">
        <v>841</v>
      </c>
      <c r="B42" s="107"/>
      <c r="C42" s="108"/>
      <c r="D42" s="107"/>
      <c r="E42" s="107"/>
      <c r="F42" s="191" t="str">
        <f>'_Input Engine'!F19</f>
        <v/>
      </c>
      <c r="G42" s="199" t="s">
        <v>204</v>
      </c>
      <c r="H42" s="107"/>
      <c r="I42" s="189" t="str">
        <f>'_Input Engine'!I19</f>
        <v>UNUSED</v>
      </c>
      <c r="J42" s="376" t="str">
        <f>IF(COUNTIFS('Section A Beam Slab'!$S$6:$S$75,19,'Section A Beam Slab'!$T$6:$T$75,"SLAB",'Section A Beam Slab'!$F$6:$F$75,"&lt;&gt;")=0,"",SUMIFS('Section A Beam Slab'!$F$6:$F$75,'Section A Beam Slab'!$S$6:$S$75,19,'Section A Beam Slab'!$T$6:$T$75,"SLAB"))</f>
        <v/>
      </c>
      <c r="K42" s="376" t="str">
        <f>IF(COUNTIFS('Section A Beam Slab'!$S$6:$S$75,19,'Section A Beam Slab'!$T$6:$T$75,"SLAB",'Section A Beam Slab'!$G$6:$G$75,"&lt;&gt;")=0,"",SUMIFS('Section A Beam Slab'!$G$6:$G$75,'Section A Beam Slab'!$S$6:$S$75,19,'Section A Beam Slab'!$T$6:$T$75,"SLAB"))</f>
        <v/>
      </c>
      <c r="L42" s="377" t="str">
        <f>IFERROR(SUBSTITUTE(SUBSTITUTE(INDEX('Section A Beam Slab'!$H$6:$H$75,MATCH(1,INDEX(('Section A Beam Slab'!$S$6:$S$75=19)*('Section A Beam Slab'!$T$6:$T$75="SLAB"),0),0)),"NOT OKAY","NOT OK"),"OKAY","OK"),"")</f>
        <v/>
      </c>
      <c r="M42" s="15"/>
      <c r="N42" s="15"/>
      <c r="O42" s="15"/>
      <c r="P42" s="15"/>
      <c r="Q42" s="15"/>
      <c r="R42" s="15"/>
      <c r="S42" s="15"/>
      <c r="T42" s="15"/>
      <c r="U42" s="15"/>
      <c r="V42" s="15"/>
      <c r="W42" s="15"/>
      <c r="X42" s="15"/>
      <c r="Y42" s="15"/>
      <c r="Z42" s="15"/>
      <c r="AA42" s="15"/>
      <c r="AB42" s="15"/>
      <c r="AC42" s="15"/>
      <c r="AD42" s="15"/>
    </row>
    <row r="43" spans="1:30" ht="30" customHeight="1">
      <c r="A43" s="198" t="s">
        <v>842</v>
      </c>
      <c r="B43" s="107"/>
      <c r="C43" s="108"/>
      <c r="D43" s="107"/>
      <c r="E43" s="107"/>
      <c r="F43" s="191" t="str">
        <f>'_Input Engine'!F20</f>
        <v/>
      </c>
      <c r="G43" s="199" t="s">
        <v>204</v>
      </c>
      <c r="H43" s="107"/>
      <c r="I43" s="189" t="str">
        <f>'_Input Engine'!I20</f>
        <v>UNUSED</v>
      </c>
      <c r="J43" s="376" t="str">
        <f>IF(COUNTIFS('Section A Beam Slab'!$S$6:$S$75,20,'Section A Beam Slab'!$T$6:$T$75,"SLAB",'Section A Beam Slab'!$F$6:$F$75,"&lt;&gt;")=0,"",SUMIFS('Section A Beam Slab'!$F$6:$F$75,'Section A Beam Slab'!$S$6:$S$75,20,'Section A Beam Slab'!$T$6:$T$75,"SLAB"))</f>
        <v/>
      </c>
      <c r="K43" s="376" t="str">
        <f>IF(COUNTIFS('Section A Beam Slab'!$S$6:$S$75,20,'Section A Beam Slab'!$T$6:$T$75,"SLAB",'Section A Beam Slab'!$G$6:$G$75,"&lt;&gt;")=0,"",SUMIFS('Section A Beam Slab'!$G$6:$G$75,'Section A Beam Slab'!$S$6:$S$75,20,'Section A Beam Slab'!$T$6:$T$75,"SLAB"))</f>
        <v/>
      </c>
      <c r="L43" s="377" t="str">
        <f>IFERROR(SUBSTITUTE(SUBSTITUTE(INDEX('Section A Beam Slab'!$H$6:$H$75,MATCH(1,INDEX(('Section A Beam Slab'!$S$6:$S$75=20)*('Section A Beam Slab'!$T$6:$T$75="SLAB"),0),0)),"NOT OKAY","NOT OK"),"OKAY","OK"),"")</f>
        <v/>
      </c>
      <c r="M43" s="15"/>
      <c r="N43" s="15"/>
      <c r="O43" s="15"/>
      <c r="P43" s="15"/>
      <c r="Q43" s="15"/>
      <c r="R43" s="15"/>
      <c r="S43" s="15"/>
      <c r="T43" s="15"/>
      <c r="U43" s="15"/>
      <c r="V43" s="15"/>
      <c r="W43" s="15"/>
      <c r="X43" s="15"/>
      <c r="Y43" s="15"/>
      <c r="Z43" s="15"/>
      <c r="AA43" s="15"/>
      <c r="AB43" s="15"/>
      <c r="AC43" s="15"/>
      <c r="AD43" s="15"/>
    </row>
    <row r="44" spans="1:30" ht="22.9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row>
    <row r="45" spans="1:30" ht="22.9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row>
    <row r="46" spans="1:30" ht="27" customHeight="1">
      <c r="A46" s="393" t="s">
        <v>1121</v>
      </c>
      <c r="B46" s="393"/>
      <c r="C46" s="393"/>
      <c r="D46" s="393"/>
      <c r="E46" s="393"/>
      <c r="F46" s="393"/>
      <c r="G46" s="393"/>
      <c r="H46" s="393"/>
      <c r="I46" s="393"/>
      <c r="J46" s="393"/>
      <c r="K46" s="393"/>
      <c r="L46" s="393"/>
      <c r="M46" s="393"/>
      <c r="N46" s="393"/>
      <c r="O46" s="393"/>
      <c r="P46" s="393"/>
      <c r="Q46" s="15"/>
      <c r="R46" s="15"/>
      <c r="S46" s="15"/>
      <c r="T46" s="15"/>
      <c r="U46" s="15"/>
      <c r="V46" s="15"/>
      <c r="W46" s="15"/>
      <c r="X46" s="15"/>
      <c r="Y46" s="15"/>
      <c r="Z46" s="15"/>
      <c r="AA46" s="15"/>
      <c r="AB46" s="15"/>
      <c r="AC46" s="15"/>
      <c r="AD46" s="15"/>
    </row>
    <row r="47" spans="1:30" ht="28.95" customHeight="1">
      <c r="A47" s="405" t="s">
        <v>1122</v>
      </c>
      <c r="B47" s="405"/>
      <c r="C47" s="405"/>
      <c r="D47" s="405"/>
      <c r="E47" s="405"/>
      <c r="F47" s="405"/>
      <c r="G47" s="405"/>
      <c r="H47" s="405"/>
      <c r="I47" s="405"/>
      <c r="J47" s="405"/>
      <c r="K47" s="405"/>
      <c r="L47" s="405"/>
      <c r="M47" s="405"/>
      <c r="N47" s="405"/>
      <c r="O47" s="405"/>
      <c r="P47" s="405"/>
      <c r="Q47" s="15"/>
      <c r="R47" s="15"/>
      <c r="S47" s="15"/>
      <c r="T47" s="15"/>
      <c r="U47" s="15"/>
      <c r="V47" s="15"/>
      <c r="W47" s="15"/>
      <c r="X47" s="15"/>
      <c r="Y47" s="15"/>
      <c r="Z47" s="15"/>
      <c r="AA47" s="15"/>
      <c r="AB47" s="15"/>
      <c r="AC47" s="15"/>
      <c r="AD47" s="15"/>
    </row>
    <row r="48" spans="1:30" ht="43.95" customHeight="1">
      <c r="A48" s="105" t="s">
        <v>795</v>
      </c>
      <c r="B48" s="105" t="s">
        <v>798</v>
      </c>
      <c r="C48" s="105" t="s">
        <v>784</v>
      </c>
      <c r="D48" s="105" t="s">
        <v>785</v>
      </c>
      <c r="E48" s="105" t="s">
        <v>799</v>
      </c>
      <c r="F48" s="105" t="s">
        <v>800</v>
      </c>
      <c r="G48" s="105" t="s">
        <v>719</v>
      </c>
      <c r="H48" s="375" t="s">
        <v>1154</v>
      </c>
      <c r="I48" s="375" t="s">
        <v>105</v>
      </c>
      <c r="J48" s="375" t="s">
        <v>1155</v>
      </c>
      <c r="K48" s="15"/>
      <c r="L48" s="15"/>
      <c r="M48" s="15"/>
      <c r="N48" s="15"/>
      <c r="O48" s="15"/>
      <c r="P48" s="15"/>
      <c r="Q48" s="15"/>
      <c r="R48" s="15"/>
      <c r="S48" s="15"/>
      <c r="T48" s="15"/>
      <c r="U48" s="15"/>
      <c r="V48" s="15"/>
      <c r="W48" s="15"/>
      <c r="X48" s="15"/>
      <c r="Y48" s="15"/>
      <c r="Z48" s="15"/>
      <c r="AA48" s="15"/>
      <c r="AB48" s="15"/>
      <c r="AC48" s="15"/>
      <c r="AD48" s="15"/>
    </row>
    <row r="49" spans="1:30" ht="30" customHeight="1">
      <c r="A49" s="198" t="s">
        <v>107</v>
      </c>
      <c r="B49" s="107"/>
      <c r="C49" s="108"/>
      <c r="D49" s="108"/>
      <c r="E49" s="107"/>
      <c r="F49" s="107"/>
      <c r="G49" s="199" t="s">
        <v>204</v>
      </c>
      <c r="H49" s="376" t="str">
        <f>IF(COUNTIFS('Section A Beam Slab'!$S$6:$S$75,31,'Section A Beam Slab'!$T$6:$T$75,"SB",'Section A Beam Slab'!$F$6:$F$75,"&lt;&gt;")=0,"",SUMIFS('Section A Beam Slab'!$F$6:$F$75,'Section A Beam Slab'!$S$6:$S$75,31,'Section A Beam Slab'!$T$6:$T$75,"SB"))</f>
        <v/>
      </c>
      <c r="I49" s="376" t="str">
        <f>IF(COUNTIFS('Section A Beam Slab'!$S$6:$S$75,31,'Section A Beam Slab'!$T$6:$T$75,"SB",'Section A Beam Slab'!$G$6:$G$75,"&lt;&gt;")=0,"",SUMIFS('Section A Beam Slab'!$G$6:$G$75,'Section A Beam Slab'!$S$6:$S$75,31,'Section A Beam Slab'!$T$6:$T$75,"SB"))</f>
        <v/>
      </c>
      <c r="J49" s="377" t="str">
        <f>IFERROR(SUBSTITUTE(SUBSTITUTE(INDEX('Section A Beam Slab'!$H$6:$H$75,MATCH(1,INDEX(('Section A Beam Slab'!$S$6:$S$75=31)*('Section A Beam Slab'!$T$6:$T$75="SB"),0),0)),"NOT OKAY","NOT OK"),"OKAY","OK"),"")</f>
        <v/>
      </c>
      <c r="K49" s="15"/>
      <c r="L49" s="15"/>
      <c r="M49" s="15"/>
      <c r="N49" s="15"/>
      <c r="O49" s="15"/>
      <c r="P49" s="15"/>
      <c r="Q49" s="15"/>
      <c r="R49" s="15"/>
      <c r="S49" s="15"/>
      <c r="T49" s="15"/>
      <c r="U49" s="15"/>
      <c r="V49" s="15"/>
      <c r="W49" s="15"/>
      <c r="X49" s="15"/>
      <c r="Y49" s="15"/>
      <c r="Z49" s="15"/>
      <c r="AA49" s="15"/>
      <c r="AB49" s="15"/>
      <c r="AC49" s="15"/>
      <c r="AD49" s="15"/>
    </row>
    <row r="50" spans="1:30" ht="30" customHeight="1">
      <c r="A50" s="198" t="s">
        <v>843</v>
      </c>
      <c r="B50" s="107"/>
      <c r="C50" s="108"/>
      <c r="D50" s="108"/>
      <c r="E50" s="107"/>
      <c r="F50" s="107"/>
      <c r="G50" s="199" t="s">
        <v>204</v>
      </c>
      <c r="H50" s="376" t="str">
        <f>IF(COUNTIFS('Section A Beam Slab'!$S$6:$S$75,32,'Section A Beam Slab'!$T$6:$T$75,"SB",'Section A Beam Slab'!$F$6:$F$75,"&lt;&gt;")=0,"",SUMIFS('Section A Beam Slab'!$F$6:$F$75,'Section A Beam Slab'!$S$6:$S$75,32,'Section A Beam Slab'!$T$6:$T$75,"SB"))</f>
        <v/>
      </c>
      <c r="I50" s="376" t="str">
        <f>IF(COUNTIFS('Section A Beam Slab'!$S$6:$S$75,32,'Section A Beam Slab'!$T$6:$T$75,"SB",'Section A Beam Slab'!$G$6:$G$75,"&lt;&gt;")=0,"",SUMIFS('Section A Beam Slab'!$G$6:$G$75,'Section A Beam Slab'!$S$6:$S$75,32,'Section A Beam Slab'!$T$6:$T$75,"SB"))</f>
        <v/>
      </c>
      <c r="J50" s="377" t="str">
        <f>IFERROR(SUBSTITUTE(SUBSTITUTE(INDEX('Section A Beam Slab'!$H$6:$H$75,MATCH(1,INDEX(('Section A Beam Slab'!$S$6:$S$75=32)*('Section A Beam Slab'!$T$6:$T$75="SB"),0),0)),"NOT OKAY","NOT OK"),"OKAY","OK"),"")</f>
        <v/>
      </c>
      <c r="K50" s="15"/>
      <c r="L50" s="15"/>
      <c r="M50" s="15"/>
      <c r="N50" s="15"/>
      <c r="O50" s="15"/>
      <c r="P50" s="15"/>
      <c r="Q50" s="15"/>
      <c r="R50" s="15"/>
      <c r="S50" s="15"/>
      <c r="T50" s="15"/>
      <c r="U50" s="15"/>
      <c r="V50" s="15"/>
      <c r="W50" s="15"/>
      <c r="X50" s="15"/>
      <c r="Y50" s="15"/>
      <c r="Z50" s="15"/>
      <c r="AA50" s="15"/>
      <c r="AB50" s="15"/>
      <c r="AC50" s="15"/>
      <c r="AD50" s="15"/>
    </row>
    <row r="51" spans="1:30" ht="30" customHeight="1">
      <c r="A51" s="198" t="s">
        <v>844</v>
      </c>
      <c r="B51" s="107"/>
      <c r="C51" s="108"/>
      <c r="D51" s="108"/>
      <c r="E51" s="107"/>
      <c r="F51" s="107"/>
      <c r="G51" s="199" t="s">
        <v>204</v>
      </c>
      <c r="H51" s="376" t="str">
        <f>IF(COUNTIFS('Section A Beam Slab'!$S$6:$S$75,33,'Section A Beam Slab'!$T$6:$T$75,"SB",'Section A Beam Slab'!$F$6:$F$75,"&lt;&gt;")=0,"",SUMIFS('Section A Beam Slab'!$F$6:$F$75,'Section A Beam Slab'!$S$6:$S$75,33,'Section A Beam Slab'!$T$6:$T$75,"SB"))</f>
        <v/>
      </c>
      <c r="I51" s="376" t="str">
        <f>IF(COUNTIFS('Section A Beam Slab'!$S$6:$S$75,33,'Section A Beam Slab'!$T$6:$T$75,"SB",'Section A Beam Slab'!$G$6:$G$75,"&lt;&gt;")=0,"",SUMIFS('Section A Beam Slab'!$G$6:$G$75,'Section A Beam Slab'!$S$6:$S$75,33,'Section A Beam Slab'!$T$6:$T$75,"SB"))</f>
        <v/>
      </c>
      <c r="J51" s="377" t="str">
        <f>IFERROR(SUBSTITUTE(SUBSTITUTE(INDEX('Section A Beam Slab'!$H$6:$H$75,MATCH(1,INDEX(('Section A Beam Slab'!$S$6:$S$75=33)*('Section A Beam Slab'!$T$6:$T$75="SB"),0),0)),"NOT OKAY","NOT OK"),"OKAY","OK"),"")</f>
        <v/>
      </c>
      <c r="K51" s="15"/>
      <c r="L51" s="15"/>
      <c r="M51" s="15"/>
      <c r="N51" s="15"/>
      <c r="O51" s="15"/>
      <c r="P51" s="15"/>
      <c r="Q51" s="15"/>
      <c r="R51" s="15"/>
      <c r="S51" s="15"/>
      <c r="T51" s="15"/>
      <c r="U51" s="15"/>
      <c r="V51" s="15"/>
      <c r="W51" s="15"/>
      <c r="X51" s="15"/>
      <c r="Y51" s="15"/>
      <c r="Z51" s="15"/>
      <c r="AA51" s="15"/>
      <c r="AB51" s="15"/>
      <c r="AC51" s="15"/>
      <c r="AD51" s="15"/>
    </row>
    <row r="52" spans="1:30" ht="30" customHeight="1">
      <c r="A52" s="198" t="s">
        <v>845</v>
      </c>
      <c r="B52" s="107"/>
      <c r="C52" s="108"/>
      <c r="D52" s="108"/>
      <c r="E52" s="107"/>
      <c r="F52" s="107"/>
      <c r="G52" s="199" t="s">
        <v>204</v>
      </c>
      <c r="H52" s="376" t="str">
        <f>IF(COUNTIFS('Section A Beam Slab'!$S$6:$S$75,34,'Section A Beam Slab'!$T$6:$T$75,"SB",'Section A Beam Slab'!$F$6:$F$75,"&lt;&gt;")=0,"",SUMIFS('Section A Beam Slab'!$F$6:$F$75,'Section A Beam Slab'!$S$6:$S$75,34,'Section A Beam Slab'!$T$6:$T$75,"SB"))</f>
        <v/>
      </c>
      <c r="I52" s="376" t="str">
        <f>IF(COUNTIFS('Section A Beam Slab'!$S$6:$S$75,34,'Section A Beam Slab'!$T$6:$T$75,"SB",'Section A Beam Slab'!$G$6:$G$75,"&lt;&gt;")=0,"",SUMIFS('Section A Beam Slab'!$G$6:$G$75,'Section A Beam Slab'!$S$6:$S$75,34,'Section A Beam Slab'!$T$6:$T$75,"SB"))</f>
        <v/>
      </c>
      <c r="J52" s="377" t="str">
        <f>IFERROR(SUBSTITUTE(SUBSTITUTE(INDEX('Section A Beam Slab'!$H$6:$H$75,MATCH(1,INDEX(('Section A Beam Slab'!$S$6:$S$75=34)*('Section A Beam Slab'!$T$6:$T$75="SB"),0),0)),"NOT OKAY","NOT OK"),"OKAY","OK"),"")</f>
        <v/>
      </c>
      <c r="K52" s="15"/>
      <c r="L52" s="15"/>
      <c r="M52" s="15"/>
      <c r="N52" s="15"/>
      <c r="O52" s="15"/>
      <c r="P52" s="15"/>
      <c r="Q52" s="15"/>
      <c r="R52" s="15"/>
      <c r="S52" s="15"/>
      <c r="T52" s="15"/>
      <c r="U52" s="15"/>
      <c r="V52" s="15"/>
      <c r="W52" s="15"/>
      <c r="X52" s="15"/>
      <c r="Y52" s="15"/>
      <c r="Z52" s="15"/>
      <c r="AA52" s="15"/>
      <c r="AB52" s="15"/>
      <c r="AC52" s="15"/>
      <c r="AD52" s="15"/>
    </row>
    <row r="53" spans="1:30" ht="30" customHeight="1">
      <c r="A53" s="198" t="s">
        <v>846</v>
      </c>
      <c r="B53" s="107"/>
      <c r="C53" s="108"/>
      <c r="D53" s="108"/>
      <c r="E53" s="107"/>
      <c r="F53" s="107"/>
      <c r="G53" s="199" t="s">
        <v>204</v>
      </c>
      <c r="H53" s="376" t="str">
        <f>IF(COUNTIFS('Section A Beam Slab'!$S$6:$S$75,35,'Section A Beam Slab'!$T$6:$T$75,"SB",'Section A Beam Slab'!$F$6:$F$75,"&lt;&gt;")=0,"",SUMIFS('Section A Beam Slab'!$F$6:$F$75,'Section A Beam Slab'!$S$6:$S$75,35,'Section A Beam Slab'!$T$6:$T$75,"SB"))</f>
        <v/>
      </c>
      <c r="I53" s="376" t="str">
        <f>IF(COUNTIFS('Section A Beam Slab'!$S$6:$S$75,35,'Section A Beam Slab'!$T$6:$T$75,"SB",'Section A Beam Slab'!$G$6:$G$75,"&lt;&gt;")=0,"",SUMIFS('Section A Beam Slab'!$G$6:$G$75,'Section A Beam Slab'!$S$6:$S$75,35,'Section A Beam Slab'!$T$6:$T$75,"SB"))</f>
        <v/>
      </c>
      <c r="J53" s="377" t="str">
        <f>IFERROR(SUBSTITUTE(SUBSTITUTE(INDEX('Section A Beam Slab'!$H$6:$H$75,MATCH(1,INDEX(('Section A Beam Slab'!$S$6:$S$75=35)*('Section A Beam Slab'!$T$6:$T$75="SB"),0),0)),"NOT OKAY","NOT OK"),"OKAY","OK"),"")</f>
        <v/>
      </c>
      <c r="K53" s="15"/>
      <c r="L53" s="15"/>
      <c r="M53" s="15"/>
      <c r="N53" s="15"/>
      <c r="O53" s="15"/>
      <c r="P53" s="15"/>
      <c r="Q53" s="15"/>
      <c r="R53" s="15"/>
      <c r="S53" s="15"/>
      <c r="T53" s="15"/>
      <c r="U53" s="15"/>
      <c r="V53" s="15"/>
      <c r="W53" s="15"/>
      <c r="X53" s="15"/>
      <c r="Y53" s="15"/>
      <c r="Z53" s="15"/>
      <c r="AA53" s="15"/>
      <c r="AB53" s="15"/>
      <c r="AC53" s="15"/>
      <c r="AD53" s="15"/>
    </row>
    <row r="54" spans="1:30" ht="30" customHeight="1">
      <c r="A54" s="198" t="s">
        <v>847</v>
      </c>
      <c r="B54" s="107"/>
      <c r="C54" s="108"/>
      <c r="D54" s="108"/>
      <c r="E54" s="107"/>
      <c r="F54" s="107"/>
      <c r="G54" s="199" t="s">
        <v>204</v>
      </c>
      <c r="H54" s="376" t="str">
        <f>IF(COUNTIFS('Section A Beam Slab'!$S$6:$S$75,36,'Section A Beam Slab'!$T$6:$T$75,"SB",'Section A Beam Slab'!$F$6:$F$75,"&lt;&gt;")=0,"",SUMIFS('Section A Beam Slab'!$F$6:$F$75,'Section A Beam Slab'!$S$6:$S$75,36,'Section A Beam Slab'!$T$6:$T$75,"SB"))</f>
        <v/>
      </c>
      <c r="I54" s="376" t="str">
        <f>IF(COUNTIFS('Section A Beam Slab'!$S$6:$S$75,36,'Section A Beam Slab'!$T$6:$T$75,"SB",'Section A Beam Slab'!$G$6:$G$75,"&lt;&gt;")=0,"",SUMIFS('Section A Beam Slab'!$G$6:$G$75,'Section A Beam Slab'!$S$6:$S$75,36,'Section A Beam Slab'!$T$6:$T$75,"SB"))</f>
        <v/>
      </c>
      <c r="J54" s="377" t="str">
        <f>IFERROR(SUBSTITUTE(SUBSTITUTE(INDEX('Section A Beam Slab'!$H$6:$H$75,MATCH(1,INDEX(('Section A Beam Slab'!$S$6:$S$75=36)*('Section A Beam Slab'!$T$6:$T$75="SB"),0),0)),"NOT OKAY","NOT OK"),"OKAY","OK"),"")</f>
        <v/>
      </c>
      <c r="K54" s="15"/>
      <c r="L54" s="15"/>
      <c r="M54" s="15"/>
      <c r="N54" s="15"/>
      <c r="O54" s="15"/>
      <c r="P54" s="15"/>
      <c r="Q54" s="15"/>
      <c r="R54" s="15"/>
      <c r="S54" s="15"/>
      <c r="T54" s="15"/>
      <c r="U54" s="15"/>
      <c r="V54" s="15"/>
      <c r="W54" s="15"/>
      <c r="X54" s="15"/>
      <c r="Y54" s="15"/>
      <c r="Z54" s="15"/>
      <c r="AA54" s="15"/>
      <c r="AB54" s="15"/>
      <c r="AC54" s="15"/>
      <c r="AD54" s="15"/>
    </row>
    <row r="55" spans="1:30" ht="30" customHeight="1">
      <c r="A55" s="198" t="s">
        <v>848</v>
      </c>
      <c r="B55" s="107"/>
      <c r="C55" s="108"/>
      <c r="D55" s="108"/>
      <c r="E55" s="107"/>
      <c r="F55" s="107"/>
      <c r="G55" s="199" t="s">
        <v>204</v>
      </c>
      <c r="H55" s="376" t="str">
        <f>IF(COUNTIFS('Section A Beam Slab'!$S$6:$S$75,37,'Section A Beam Slab'!$T$6:$T$75,"SB",'Section A Beam Slab'!$F$6:$F$75,"&lt;&gt;")=0,"",SUMIFS('Section A Beam Slab'!$F$6:$F$75,'Section A Beam Slab'!$S$6:$S$75,37,'Section A Beam Slab'!$T$6:$T$75,"SB"))</f>
        <v/>
      </c>
      <c r="I55" s="376" t="str">
        <f>IF(COUNTIFS('Section A Beam Slab'!$S$6:$S$75,37,'Section A Beam Slab'!$T$6:$T$75,"SB",'Section A Beam Slab'!$G$6:$G$75,"&lt;&gt;")=0,"",SUMIFS('Section A Beam Slab'!$G$6:$G$75,'Section A Beam Slab'!$S$6:$S$75,37,'Section A Beam Slab'!$T$6:$T$75,"SB"))</f>
        <v/>
      </c>
      <c r="J55" s="377" t="str">
        <f>IFERROR(SUBSTITUTE(SUBSTITUTE(INDEX('Section A Beam Slab'!$H$6:$H$75,MATCH(1,INDEX(('Section A Beam Slab'!$S$6:$S$75=37)*('Section A Beam Slab'!$T$6:$T$75="SB"),0),0)),"NOT OKAY","NOT OK"),"OKAY","OK"),"")</f>
        <v/>
      </c>
      <c r="K55" s="15"/>
      <c r="L55" s="15"/>
      <c r="M55" s="15"/>
      <c r="N55" s="15"/>
      <c r="O55" s="15"/>
      <c r="P55" s="15"/>
      <c r="Q55" s="15"/>
      <c r="R55" s="15"/>
      <c r="S55" s="15"/>
      <c r="T55" s="15"/>
      <c r="U55" s="15"/>
      <c r="V55" s="15"/>
      <c r="W55" s="15"/>
      <c r="X55" s="15"/>
      <c r="Y55" s="15"/>
      <c r="Z55" s="15"/>
      <c r="AA55" s="15"/>
      <c r="AB55" s="15"/>
      <c r="AC55" s="15"/>
      <c r="AD55" s="15"/>
    </row>
    <row r="56" spans="1:30" ht="30" customHeight="1">
      <c r="A56" s="198" t="s">
        <v>849</v>
      </c>
      <c r="B56" s="107"/>
      <c r="C56" s="108"/>
      <c r="D56" s="108"/>
      <c r="E56" s="107"/>
      <c r="F56" s="107"/>
      <c r="G56" s="199" t="s">
        <v>204</v>
      </c>
      <c r="H56" s="376" t="str">
        <f>IF(COUNTIFS('Section A Beam Slab'!$S$6:$S$75,38,'Section A Beam Slab'!$T$6:$T$75,"SB",'Section A Beam Slab'!$F$6:$F$75,"&lt;&gt;")=0,"",SUMIFS('Section A Beam Slab'!$F$6:$F$75,'Section A Beam Slab'!$S$6:$S$75,38,'Section A Beam Slab'!$T$6:$T$75,"SB"))</f>
        <v/>
      </c>
      <c r="I56" s="376" t="str">
        <f>IF(COUNTIFS('Section A Beam Slab'!$S$6:$S$75,38,'Section A Beam Slab'!$T$6:$T$75,"SB",'Section A Beam Slab'!$G$6:$G$75,"&lt;&gt;")=0,"",SUMIFS('Section A Beam Slab'!$G$6:$G$75,'Section A Beam Slab'!$S$6:$S$75,38,'Section A Beam Slab'!$T$6:$T$75,"SB"))</f>
        <v/>
      </c>
      <c r="J56" s="377" t="str">
        <f>IFERROR(SUBSTITUTE(SUBSTITUTE(INDEX('Section A Beam Slab'!$H$6:$H$75,MATCH(1,INDEX(('Section A Beam Slab'!$S$6:$S$75=38)*('Section A Beam Slab'!$T$6:$T$75="SB"),0),0)),"NOT OKAY","NOT OK"),"OKAY","OK"),"")</f>
        <v/>
      </c>
      <c r="K56" s="15"/>
      <c r="L56" s="15"/>
      <c r="M56" s="15"/>
      <c r="N56" s="15"/>
      <c r="O56" s="15"/>
      <c r="P56" s="15"/>
      <c r="Q56" s="15"/>
      <c r="R56" s="15"/>
      <c r="S56" s="15"/>
      <c r="T56" s="15"/>
      <c r="U56" s="15"/>
      <c r="V56" s="15"/>
      <c r="W56" s="15"/>
      <c r="X56" s="15"/>
      <c r="Y56" s="15"/>
      <c r="Z56" s="15"/>
      <c r="AA56" s="15"/>
      <c r="AB56" s="15"/>
      <c r="AC56" s="15"/>
      <c r="AD56" s="15"/>
    </row>
    <row r="57" spans="1:30" ht="30" customHeight="1">
      <c r="A57" s="198" t="s">
        <v>850</v>
      </c>
      <c r="B57" s="107"/>
      <c r="C57" s="108"/>
      <c r="D57" s="108"/>
      <c r="E57" s="107"/>
      <c r="F57" s="107"/>
      <c r="G57" s="199" t="s">
        <v>204</v>
      </c>
      <c r="H57" s="376" t="str">
        <f>IF(COUNTIFS('Section A Beam Slab'!$S$6:$S$75,39,'Section A Beam Slab'!$T$6:$T$75,"SB",'Section A Beam Slab'!$F$6:$F$75,"&lt;&gt;")=0,"",SUMIFS('Section A Beam Slab'!$F$6:$F$75,'Section A Beam Slab'!$S$6:$S$75,39,'Section A Beam Slab'!$T$6:$T$75,"SB"))</f>
        <v/>
      </c>
      <c r="I57" s="376" t="str">
        <f>IF(COUNTIFS('Section A Beam Slab'!$S$6:$S$75,39,'Section A Beam Slab'!$T$6:$T$75,"SB",'Section A Beam Slab'!$G$6:$G$75,"&lt;&gt;")=0,"",SUMIFS('Section A Beam Slab'!$G$6:$G$75,'Section A Beam Slab'!$S$6:$S$75,39,'Section A Beam Slab'!$T$6:$T$75,"SB"))</f>
        <v/>
      </c>
      <c r="J57" s="377" t="str">
        <f>IFERROR(SUBSTITUTE(SUBSTITUTE(INDEX('Section A Beam Slab'!$H$6:$H$75,MATCH(1,INDEX(('Section A Beam Slab'!$S$6:$S$75=39)*('Section A Beam Slab'!$T$6:$T$75="SB"),0),0)),"NOT OKAY","NOT OK"),"OKAY","OK"),"")</f>
        <v/>
      </c>
      <c r="K57" s="15"/>
      <c r="L57" s="15"/>
      <c r="M57" s="15"/>
      <c r="N57" s="15"/>
      <c r="O57" s="15"/>
      <c r="P57" s="15"/>
      <c r="Q57" s="15"/>
      <c r="R57" s="15"/>
      <c r="S57" s="15"/>
      <c r="T57" s="15"/>
      <c r="U57" s="15"/>
      <c r="V57" s="15"/>
      <c r="W57" s="15"/>
      <c r="X57" s="15"/>
      <c r="Y57" s="15"/>
      <c r="Z57" s="15"/>
      <c r="AA57" s="15"/>
      <c r="AB57" s="15"/>
      <c r="AC57" s="15"/>
      <c r="AD57" s="15"/>
    </row>
    <row r="58" spans="1:30" ht="30" customHeight="1">
      <c r="A58" s="198" t="s">
        <v>851</v>
      </c>
      <c r="B58" s="107"/>
      <c r="C58" s="108"/>
      <c r="D58" s="108"/>
      <c r="E58" s="107"/>
      <c r="F58" s="107"/>
      <c r="G58" s="199" t="s">
        <v>204</v>
      </c>
      <c r="H58" s="376" t="str">
        <f>IF(COUNTIFS('Section A Beam Slab'!$S$6:$S$75,40,'Section A Beam Slab'!$T$6:$T$75,"SB",'Section A Beam Slab'!$F$6:$F$75,"&lt;&gt;")=0,"",SUMIFS('Section A Beam Slab'!$F$6:$F$75,'Section A Beam Slab'!$S$6:$S$75,40,'Section A Beam Slab'!$T$6:$T$75,"SB"))</f>
        <v/>
      </c>
      <c r="I58" s="376" t="str">
        <f>IF(COUNTIFS('Section A Beam Slab'!$S$6:$S$75,40,'Section A Beam Slab'!$T$6:$T$75,"SB",'Section A Beam Slab'!$G$6:$G$75,"&lt;&gt;")=0,"",SUMIFS('Section A Beam Slab'!$G$6:$G$75,'Section A Beam Slab'!$S$6:$S$75,40,'Section A Beam Slab'!$T$6:$T$75,"SB"))</f>
        <v/>
      </c>
      <c r="J58" s="377" t="str">
        <f>IFERROR(SUBSTITUTE(SUBSTITUTE(INDEX('Section A Beam Slab'!$H$6:$H$75,MATCH(1,INDEX(('Section A Beam Slab'!$S$6:$S$75=40)*('Section A Beam Slab'!$T$6:$T$75="SB"),0),0)),"NOT OKAY","NOT OK"),"OKAY","OK"),"")</f>
        <v/>
      </c>
      <c r="K58" s="15"/>
      <c r="L58" s="15"/>
      <c r="M58" s="15"/>
      <c r="N58" s="15"/>
      <c r="O58" s="15"/>
      <c r="P58" s="15"/>
      <c r="Q58" s="15"/>
      <c r="R58" s="15"/>
      <c r="S58" s="15"/>
      <c r="T58" s="15"/>
      <c r="U58" s="15"/>
      <c r="V58" s="15"/>
      <c r="W58" s="15"/>
      <c r="X58" s="15"/>
      <c r="Y58" s="15"/>
      <c r="Z58" s="15"/>
      <c r="AA58" s="15"/>
      <c r="AB58" s="15"/>
      <c r="AC58" s="15"/>
      <c r="AD58" s="15"/>
    </row>
    <row r="59" spans="1:30" ht="30" customHeight="1">
      <c r="A59" s="198" t="s">
        <v>852</v>
      </c>
      <c r="B59" s="107"/>
      <c r="C59" s="108"/>
      <c r="D59" s="108"/>
      <c r="E59" s="107"/>
      <c r="F59" s="107"/>
      <c r="G59" s="199" t="s">
        <v>204</v>
      </c>
      <c r="H59" s="376" t="str">
        <f>IF(COUNTIFS('Section A Beam Slab'!$S$6:$S$75,41,'Section A Beam Slab'!$T$6:$T$75,"SB",'Section A Beam Slab'!$F$6:$F$75,"&lt;&gt;")=0,"",SUMIFS('Section A Beam Slab'!$F$6:$F$75,'Section A Beam Slab'!$S$6:$S$75,41,'Section A Beam Slab'!$T$6:$T$75,"SB"))</f>
        <v/>
      </c>
      <c r="I59" s="376" t="str">
        <f>IF(COUNTIFS('Section A Beam Slab'!$S$6:$S$75,41,'Section A Beam Slab'!$T$6:$T$75,"SB",'Section A Beam Slab'!$G$6:$G$75,"&lt;&gt;")=0,"",SUMIFS('Section A Beam Slab'!$G$6:$G$75,'Section A Beam Slab'!$S$6:$S$75,41,'Section A Beam Slab'!$T$6:$T$75,"SB"))</f>
        <v/>
      </c>
      <c r="J59" s="377" t="str">
        <f>IFERROR(SUBSTITUTE(SUBSTITUTE(INDEX('Section A Beam Slab'!$H$6:$H$75,MATCH(1,INDEX(('Section A Beam Slab'!$S$6:$S$75=41)*('Section A Beam Slab'!$T$6:$T$75="SB"),0),0)),"NOT OKAY","NOT OK"),"OKAY","OK"),"")</f>
        <v/>
      </c>
      <c r="K59" s="15"/>
      <c r="L59" s="15"/>
      <c r="M59" s="15"/>
      <c r="N59" s="15"/>
      <c r="O59" s="15"/>
      <c r="P59" s="15"/>
      <c r="Q59" s="15"/>
      <c r="R59" s="15"/>
      <c r="S59" s="15"/>
      <c r="T59" s="15"/>
      <c r="U59" s="15"/>
      <c r="V59" s="15"/>
      <c r="W59" s="15"/>
      <c r="X59" s="15"/>
      <c r="Y59" s="15"/>
      <c r="Z59" s="15"/>
      <c r="AA59" s="15"/>
      <c r="AB59" s="15"/>
      <c r="AC59" s="15"/>
      <c r="AD59" s="15"/>
    </row>
    <row r="60" spans="1:30" ht="30" customHeight="1">
      <c r="A60" s="198" t="s">
        <v>853</v>
      </c>
      <c r="B60" s="107"/>
      <c r="C60" s="108"/>
      <c r="D60" s="108"/>
      <c r="E60" s="107"/>
      <c r="F60" s="107"/>
      <c r="G60" s="199" t="s">
        <v>204</v>
      </c>
      <c r="H60" s="376" t="str">
        <f>IF(COUNTIFS('Section A Beam Slab'!$S$6:$S$75,42,'Section A Beam Slab'!$T$6:$T$75,"SB",'Section A Beam Slab'!$F$6:$F$75,"&lt;&gt;")=0,"",SUMIFS('Section A Beam Slab'!$F$6:$F$75,'Section A Beam Slab'!$S$6:$S$75,42,'Section A Beam Slab'!$T$6:$T$75,"SB"))</f>
        <v/>
      </c>
      <c r="I60" s="376" t="str">
        <f>IF(COUNTIFS('Section A Beam Slab'!$S$6:$S$75,42,'Section A Beam Slab'!$T$6:$T$75,"SB",'Section A Beam Slab'!$G$6:$G$75,"&lt;&gt;")=0,"",SUMIFS('Section A Beam Slab'!$G$6:$G$75,'Section A Beam Slab'!$S$6:$S$75,42,'Section A Beam Slab'!$T$6:$T$75,"SB"))</f>
        <v/>
      </c>
      <c r="J60" s="377" t="str">
        <f>IFERROR(SUBSTITUTE(SUBSTITUTE(INDEX('Section A Beam Slab'!$H$6:$H$75,MATCH(1,INDEX(('Section A Beam Slab'!$S$6:$S$75=42)*('Section A Beam Slab'!$T$6:$T$75="SB"),0),0)),"NOT OKAY","NOT OK"),"OKAY","OK"),"")</f>
        <v/>
      </c>
      <c r="K60" s="15"/>
      <c r="L60" s="15"/>
      <c r="M60" s="15"/>
      <c r="N60" s="15"/>
      <c r="O60" s="15"/>
      <c r="P60" s="15"/>
      <c r="Q60" s="15"/>
      <c r="R60" s="15"/>
      <c r="S60" s="15"/>
      <c r="T60" s="15"/>
      <c r="U60" s="15"/>
      <c r="V60" s="15"/>
      <c r="W60" s="15"/>
      <c r="X60" s="15"/>
      <c r="Y60" s="15"/>
      <c r="Z60" s="15"/>
      <c r="AA60" s="15"/>
      <c r="AB60" s="15"/>
      <c r="AC60" s="15"/>
      <c r="AD60" s="15"/>
    </row>
    <row r="61" spans="1:30" ht="30" customHeight="1">
      <c r="A61" s="198" t="s">
        <v>854</v>
      </c>
      <c r="B61" s="107"/>
      <c r="C61" s="108"/>
      <c r="D61" s="108"/>
      <c r="E61" s="107"/>
      <c r="F61" s="107"/>
      <c r="G61" s="199" t="s">
        <v>204</v>
      </c>
      <c r="H61" s="376" t="str">
        <f>IF(COUNTIFS('Section A Beam Slab'!$S$6:$S$75,43,'Section A Beam Slab'!$T$6:$T$75,"SB",'Section A Beam Slab'!$F$6:$F$75,"&lt;&gt;")=0,"",SUMIFS('Section A Beam Slab'!$F$6:$F$75,'Section A Beam Slab'!$S$6:$S$75,43,'Section A Beam Slab'!$T$6:$T$75,"SB"))</f>
        <v/>
      </c>
      <c r="I61" s="376" t="str">
        <f>IF(COUNTIFS('Section A Beam Slab'!$S$6:$S$75,43,'Section A Beam Slab'!$T$6:$T$75,"SB",'Section A Beam Slab'!$G$6:$G$75,"&lt;&gt;")=0,"",SUMIFS('Section A Beam Slab'!$G$6:$G$75,'Section A Beam Slab'!$S$6:$S$75,43,'Section A Beam Slab'!$T$6:$T$75,"SB"))</f>
        <v/>
      </c>
      <c r="J61" s="377" t="str">
        <f>IFERROR(SUBSTITUTE(SUBSTITUTE(INDEX('Section A Beam Slab'!$H$6:$H$75,MATCH(1,INDEX(('Section A Beam Slab'!$S$6:$S$75=43)*('Section A Beam Slab'!$T$6:$T$75="SB"),0),0)),"NOT OKAY","NOT OK"),"OKAY","OK"),"")</f>
        <v/>
      </c>
      <c r="K61" s="15"/>
      <c r="L61" s="15"/>
      <c r="M61" s="15"/>
      <c r="N61" s="15"/>
      <c r="O61" s="15"/>
      <c r="P61" s="15"/>
      <c r="Q61" s="15"/>
      <c r="R61" s="15"/>
      <c r="S61" s="15"/>
      <c r="T61" s="15"/>
      <c r="U61" s="15"/>
      <c r="V61" s="15"/>
      <c r="W61" s="15"/>
      <c r="X61" s="15"/>
      <c r="Y61" s="15"/>
      <c r="Z61" s="15"/>
      <c r="AA61" s="15"/>
      <c r="AB61" s="15"/>
      <c r="AC61" s="15"/>
      <c r="AD61" s="15"/>
    </row>
    <row r="62" spans="1:30" ht="30" customHeight="1">
      <c r="A62" s="198" t="s">
        <v>855</v>
      </c>
      <c r="B62" s="107"/>
      <c r="C62" s="108"/>
      <c r="D62" s="108"/>
      <c r="E62" s="107"/>
      <c r="F62" s="107"/>
      <c r="G62" s="199" t="s">
        <v>204</v>
      </c>
      <c r="H62" s="376" t="str">
        <f>IF(COUNTIFS('Section A Beam Slab'!$S$6:$S$75,44,'Section A Beam Slab'!$T$6:$T$75,"SB",'Section A Beam Slab'!$F$6:$F$75,"&lt;&gt;")=0,"",SUMIFS('Section A Beam Slab'!$F$6:$F$75,'Section A Beam Slab'!$S$6:$S$75,44,'Section A Beam Slab'!$T$6:$T$75,"SB"))</f>
        <v/>
      </c>
      <c r="I62" s="376" t="str">
        <f>IF(COUNTIFS('Section A Beam Slab'!$S$6:$S$75,44,'Section A Beam Slab'!$T$6:$T$75,"SB",'Section A Beam Slab'!$G$6:$G$75,"&lt;&gt;")=0,"",SUMIFS('Section A Beam Slab'!$G$6:$G$75,'Section A Beam Slab'!$S$6:$S$75,44,'Section A Beam Slab'!$T$6:$T$75,"SB"))</f>
        <v/>
      </c>
      <c r="J62" s="377" t="str">
        <f>IFERROR(SUBSTITUTE(SUBSTITUTE(INDEX('Section A Beam Slab'!$H$6:$H$75,MATCH(1,INDEX(('Section A Beam Slab'!$S$6:$S$75=44)*('Section A Beam Slab'!$T$6:$T$75="SB"),0),0)),"NOT OKAY","NOT OK"),"OKAY","OK"),"")</f>
        <v/>
      </c>
      <c r="K62" s="15"/>
      <c r="L62" s="15"/>
      <c r="M62" s="15"/>
      <c r="N62" s="15"/>
      <c r="O62" s="15"/>
      <c r="P62" s="15"/>
      <c r="Q62" s="15"/>
      <c r="R62" s="15"/>
      <c r="S62" s="15"/>
      <c r="T62" s="15"/>
      <c r="U62" s="15"/>
      <c r="V62" s="15"/>
      <c r="W62" s="15"/>
      <c r="X62" s="15"/>
      <c r="Y62" s="15"/>
      <c r="Z62" s="15"/>
      <c r="AA62" s="15"/>
      <c r="AB62" s="15"/>
      <c r="AC62" s="15"/>
      <c r="AD62" s="15"/>
    </row>
    <row r="63" spans="1:30" ht="30" customHeight="1">
      <c r="A63" s="198" t="s">
        <v>856</v>
      </c>
      <c r="B63" s="107"/>
      <c r="C63" s="108"/>
      <c r="D63" s="108"/>
      <c r="E63" s="107"/>
      <c r="F63" s="107"/>
      <c r="G63" s="199" t="s">
        <v>204</v>
      </c>
      <c r="H63" s="376" t="str">
        <f>IF(COUNTIFS('Section A Beam Slab'!$S$6:$S$75,45,'Section A Beam Slab'!$T$6:$T$75,"SB",'Section A Beam Slab'!$F$6:$F$75,"&lt;&gt;")=0,"",SUMIFS('Section A Beam Slab'!$F$6:$F$75,'Section A Beam Slab'!$S$6:$S$75,45,'Section A Beam Slab'!$T$6:$T$75,"SB"))</f>
        <v/>
      </c>
      <c r="I63" s="376" t="str">
        <f>IF(COUNTIFS('Section A Beam Slab'!$S$6:$S$75,45,'Section A Beam Slab'!$T$6:$T$75,"SB",'Section A Beam Slab'!$G$6:$G$75,"&lt;&gt;")=0,"",SUMIFS('Section A Beam Slab'!$G$6:$G$75,'Section A Beam Slab'!$S$6:$S$75,45,'Section A Beam Slab'!$T$6:$T$75,"SB"))</f>
        <v/>
      </c>
      <c r="J63" s="377" t="str">
        <f>IFERROR(SUBSTITUTE(SUBSTITUTE(INDEX('Section A Beam Slab'!$H$6:$H$75,MATCH(1,INDEX(('Section A Beam Slab'!$S$6:$S$75=45)*('Section A Beam Slab'!$T$6:$T$75="SB"),0),0)),"NOT OKAY","NOT OK"),"OKAY","OK"),"")</f>
        <v/>
      </c>
      <c r="K63" s="15"/>
      <c r="L63" s="15"/>
      <c r="M63" s="15"/>
      <c r="N63" s="15"/>
      <c r="O63" s="15"/>
      <c r="P63" s="15"/>
      <c r="Q63" s="15"/>
      <c r="R63" s="15"/>
      <c r="S63" s="15"/>
      <c r="T63" s="15"/>
      <c r="U63" s="15"/>
      <c r="V63" s="15"/>
      <c r="W63" s="15"/>
      <c r="X63" s="15"/>
      <c r="Y63" s="15"/>
      <c r="Z63" s="15"/>
      <c r="AA63" s="15"/>
      <c r="AB63" s="15"/>
      <c r="AC63" s="15"/>
      <c r="AD63" s="15"/>
    </row>
    <row r="64" spans="1:30" ht="30" customHeight="1">
      <c r="A64" s="198" t="s">
        <v>857</v>
      </c>
      <c r="B64" s="107"/>
      <c r="C64" s="108"/>
      <c r="D64" s="108"/>
      <c r="E64" s="107"/>
      <c r="F64" s="107"/>
      <c r="G64" s="199" t="s">
        <v>204</v>
      </c>
      <c r="H64" s="376" t="str">
        <f>IF(COUNTIFS('Section A Beam Slab'!$S$6:$S$75,46,'Section A Beam Slab'!$T$6:$T$75,"SB",'Section A Beam Slab'!$F$6:$F$75,"&lt;&gt;")=0,"",SUMIFS('Section A Beam Slab'!$F$6:$F$75,'Section A Beam Slab'!$S$6:$S$75,46,'Section A Beam Slab'!$T$6:$T$75,"SB"))</f>
        <v/>
      </c>
      <c r="I64" s="376" t="str">
        <f>IF(COUNTIFS('Section A Beam Slab'!$S$6:$S$75,46,'Section A Beam Slab'!$T$6:$T$75,"SB",'Section A Beam Slab'!$G$6:$G$75,"&lt;&gt;")=0,"",SUMIFS('Section A Beam Slab'!$G$6:$G$75,'Section A Beam Slab'!$S$6:$S$75,46,'Section A Beam Slab'!$T$6:$T$75,"SB"))</f>
        <v/>
      </c>
      <c r="J64" s="377" t="str">
        <f>IFERROR(SUBSTITUTE(SUBSTITUTE(INDEX('Section A Beam Slab'!$H$6:$H$75,MATCH(1,INDEX(('Section A Beam Slab'!$S$6:$S$75=46)*('Section A Beam Slab'!$T$6:$T$75="SB"),0),0)),"NOT OKAY","NOT OK"),"OKAY","OK"),"")</f>
        <v/>
      </c>
      <c r="K64" s="15"/>
      <c r="L64" s="15"/>
      <c r="M64" s="15"/>
      <c r="N64" s="15"/>
      <c r="O64" s="15"/>
      <c r="P64" s="15"/>
      <c r="Q64" s="15"/>
      <c r="R64" s="15"/>
      <c r="S64" s="15"/>
      <c r="T64" s="15"/>
      <c r="U64" s="15"/>
      <c r="V64" s="15"/>
      <c r="W64" s="15"/>
      <c r="X64" s="15"/>
      <c r="Y64" s="15"/>
      <c r="Z64" s="15"/>
      <c r="AA64" s="15"/>
      <c r="AB64" s="15"/>
      <c r="AC64" s="15"/>
      <c r="AD64" s="15"/>
    </row>
    <row r="65" spans="1:30" ht="30" customHeight="1">
      <c r="A65" s="198" t="s">
        <v>858</v>
      </c>
      <c r="B65" s="107"/>
      <c r="C65" s="108"/>
      <c r="D65" s="108"/>
      <c r="E65" s="107"/>
      <c r="F65" s="107"/>
      <c r="G65" s="199" t="s">
        <v>204</v>
      </c>
      <c r="H65" s="376" t="str">
        <f>IF(COUNTIFS('Section A Beam Slab'!$S$6:$S$75,47,'Section A Beam Slab'!$T$6:$T$75,"SB",'Section A Beam Slab'!$F$6:$F$75,"&lt;&gt;")=0,"",SUMIFS('Section A Beam Slab'!$F$6:$F$75,'Section A Beam Slab'!$S$6:$S$75,47,'Section A Beam Slab'!$T$6:$T$75,"SB"))</f>
        <v/>
      </c>
      <c r="I65" s="376" t="str">
        <f>IF(COUNTIFS('Section A Beam Slab'!$S$6:$S$75,47,'Section A Beam Slab'!$T$6:$T$75,"SB",'Section A Beam Slab'!$G$6:$G$75,"&lt;&gt;")=0,"",SUMIFS('Section A Beam Slab'!$G$6:$G$75,'Section A Beam Slab'!$S$6:$S$75,47,'Section A Beam Slab'!$T$6:$T$75,"SB"))</f>
        <v/>
      </c>
      <c r="J65" s="377" t="str">
        <f>IFERROR(SUBSTITUTE(SUBSTITUTE(INDEX('Section A Beam Slab'!$H$6:$H$75,MATCH(1,INDEX(('Section A Beam Slab'!$S$6:$S$75=47)*('Section A Beam Slab'!$T$6:$T$75="SB"),0),0)),"NOT OKAY","NOT OK"),"OKAY","OK"),"")</f>
        <v/>
      </c>
      <c r="K65" s="15"/>
      <c r="L65" s="15"/>
      <c r="M65" s="15"/>
      <c r="N65" s="15"/>
      <c r="O65" s="15"/>
      <c r="P65" s="15"/>
      <c r="Q65" s="15"/>
      <c r="R65" s="15"/>
      <c r="S65" s="15"/>
      <c r="T65" s="15"/>
      <c r="U65" s="15"/>
      <c r="V65" s="15"/>
      <c r="W65" s="15"/>
      <c r="X65" s="15"/>
      <c r="Y65" s="15"/>
      <c r="Z65" s="15"/>
      <c r="AA65" s="15"/>
      <c r="AB65" s="15"/>
      <c r="AC65" s="15"/>
      <c r="AD65" s="15"/>
    </row>
    <row r="66" spans="1:30" ht="30" customHeight="1">
      <c r="A66" s="198" t="s">
        <v>859</v>
      </c>
      <c r="B66" s="107"/>
      <c r="C66" s="108"/>
      <c r="D66" s="108"/>
      <c r="E66" s="107"/>
      <c r="F66" s="107"/>
      <c r="G66" s="199" t="s">
        <v>204</v>
      </c>
      <c r="H66" s="376" t="str">
        <f>IF(COUNTIFS('Section A Beam Slab'!$S$6:$S$75,48,'Section A Beam Slab'!$T$6:$T$75,"SB",'Section A Beam Slab'!$F$6:$F$75,"&lt;&gt;")=0,"",SUMIFS('Section A Beam Slab'!$F$6:$F$75,'Section A Beam Slab'!$S$6:$S$75,48,'Section A Beam Slab'!$T$6:$T$75,"SB"))</f>
        <v/>
      </c>
      <c r="I66" s="376" t="str">
        <f>IF(COUNTIFS('Section A Beam Slab'!$S$6:$S$75,48,'Section A Beam Slab'!$T$6:$T$75,"SB",'Section A Beam Slab'!$G$6:$G$75,"&lt;&gt;")=0,"",SUMIFS('Section A Beam Slab'!$G$6:$G$75,'Section A Beam Slab'!$S$6:$S$75,48,'Section A Beam Slab'!$T$6:$T$75,"SB"))</f>
        <v/>
      </c>
      <c r="J66" s="377" t="str">
        <f>IFERROR(SUBSTITUTE(SUBSTITUTE(INDEX('Section A Beam Slab'!$H$6:$H$75,MATCH(1,INDEX(('Section A Beam Slab'!$S$6:$S$75=48)*('Section A Beam Slab'!$T$6:$T$75="SB"),0),0)),"NOT OKAY","NOT OK"),"OKAY","OK"),"")</f>
        <v/>
      </c>
      <c r="K66" s="15"/>
      <c r="L66" s="15"/>
      <c r="M66" s="15"/>
      <c r="N66" s="15"/>
      <c r="O66" s="15"/>
      <c r="P66" s="15"/>
      <c r="Q66" s="15"/>
      <c r="R66" s="15"/>
      <c r="S66" s="15"/>
      <c r="T66" s="15"/>
      <c r="U66" s="15"/>
      <c r="V66" s="15"/>
      <c r="W66" s="15"/>
      <c r="X66" s="15"/>
      <c r="Y66" s="15"/>
      <c r="Z66" s="15"/>
      <c r="AA66" s="15"/>
      <c r="AB66" s="15"/>
      <c r="AC66" s="15"/>
      <c r="AD66" s="15"/>
    </row>
    <row r="67" spans="1:30" ht="30" customHeight="1">
      <c r="A67" s="198" t="s">
        <v>860</v>
      </c>
      <c r="B67" s="107"/>
      <c r="C67" s="108"/>
      <c r="D67" s="108"/>
      <c r="E67" s="107"/>
      <c r="F67" s="107"/>
      <c r="G67" s="199" t="s">
        <v>204</v>
      </c>
      <c r="H67" s="376" t="str">
        <f>IF(COUNTIFS('Section A Beam Slab'!$S$6:$S$75,49,'Section A Beam Slab'!$T$6:$T$75,"SB",'Section A Beam Slab'!$F$6:$F$75,"&lt;&gt;")=0,"",SUMIFS('Section A Beam Slab'!$F$6:$F$75,'Section A Beam Slab'!$S$6:$S$75,49,'Section A Beam Slab'!$T$6:$T$75,"SB"))</f>
        <v/>
      </c>
      <c r="I67" s="376" t="str">
        <f>IF(COUNTIFS('Section A Beam Slab'!$S$6:$S$75,49,'Section A Beam Slab'!$T$6:$T$75,"SB",'Section A Beam Slab'!$G$6:$G$75,"&lt;&gt;")=0,"",SUMIFS('Section A Beam Slab'!$G$6:$G$75,'Section A Beam Slab'!$S$6:$S$75,49,'Section A Beam Slab'!$T$6:$T$75,"SB"))</f>
        <v/>
      </c>
      <c r="J67" s="377" t="str">
        <f>IFERROR(SUBSTITUTE(SUBSTITUTE(INDEX('Section A Beam Slab'!$H$6:$H$75,MATCH(1,INDEX(('Section A Beam Slab'!$S$6:$S$75=49)*('Section A Beam Slab'!$T$6:$T$75="SB"),0),0)),"NOT OKAY","NOT OK"),"OKAY","OK"),"")</f>
        <v/>
      </c>
      <c r="K67" s="15"/>
      <c r="L67" s="15"/>
      <c r="M67" s="15"/>
      <c r="N67" s="15"/>
      <c r="O67" s="15"/>
      <c r="P67" s="15"/>
      <c r="Q67" s="15"/>
      <c r="R67" s="15"/>
      <c r="S67" s="15"/>
      <c r="T67" s="15"/>
      <c r="U67" s="15"/>
      <c r="V67" s="15"/>
      <c r="W67" s="15"/>
      <c r="X67" s="15"/>
      <c r="Y67" s="15"/>
      <c r="Z67" s="15"/>
      <c r="AA67" s="15"/>
      <c r="AB67" s="15"/>
      <c r="AC67" s="15"/>
      <c r="AD67" s="15"/>
    </row>
    <row r="68" spans="1:30" ht="30" customHeight="1">
      <c r="A68" s="198" t="s">
        <v>861</v>
      </c>
      <c r="B68" s="107"/>
      <c r="C68" s="108"/>
      <c r="D68" s="108"/>
      <c r="E68" s="107"/>
      <c r="F68" s="107"/>
      <c r="G68" s="199" t="s">
        <v>204</v>
      </c>
      <c r="H68" s="376" t="str">
        <f>IF(COUNTIFS('Section A Beam Slab'!$S$6:$S$75,50,'Section A Beam Slab'!$T$6:$T$75,"SB",'Section A Beam Slab'!$F$6:$F$75,"&lt;&gt;")=0,"",SUMIFS('Section A Beam Slab'!$F$6:$F$75,'Section A Beam Slab'!$S$6:$S$75,50,'Section A Beam Slab'!$T$6:$T$75,"SB"))</f>
        <v/>
      </c>
      <c r="I68" s="376" t="str">
        <f>IF(COUNTIFS('Section A Beam Slab'!$S$6:$S$75,50,'Section A Beam Slab'!$T$6:$T$75,"SB",'Section A Beam Slab'!$G$6:$G$75,"&lt;&gt;")=0,"",SUMIFS('Section A Beam Slab'!$G$6:$G$75,'Section A Beam Slab'!$S$6:$S$75,50,'Section A Beam Slab'!$T$6:$T$75,"SB"))</f>
        <v/>
      </c>
      <c r="J68" s="377" t="str">
        <f>IFERROR(SUBSTITUTE(SUBSTITUTE(INDEX('Section A Beam Slab'!$H$6:$H$75,MATCH(1,INDEX(('Section A Beam Slab'!$S$6:$S$75=50)*('Section A Beam Slab'!$T$6:$T$75="SB"),0),0)),"NOT OKAY","NOT OK"),"OKAY","OK"),"")</f>
        <v/>
      </c>
      <c r="K68" s="15"/>
      <c r="L68" s="15"/>
      <c r="M68" s="15"/>
      <c r="N68" s="15"/>
      <c r="O68" s="15"/>
      <c r="P68" s="15"/>
      <c r="Q68" s="15"/>
      <c r="R68" s="15"/>
      <c r="S68" s="15"/>
      <c r="T68" s="15"/>
      <c r="U68" s="15"/>
      <c r="V68" s="15"/>
      <c r="W68" s="15"/>
      <c r="X68" s="15"/>
      <c r="Y68" s="15"/>
      <c r="Z68" s="15"/>
      <c r="AA68" s="15"/>
      <c r="AB68" s="15"/>
      <c r="AC68" s="15"/>
      <c r="AD68" s="15"/>
    </row>
    <row r="69" spans="1:30" ht="22.9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row>
    <row r="70" spans="1:30" ht="22.9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row>
    <row r="71" spans="1:30" ht="27" customHeight="1">
      <c r="A71" s="393" t="s">
        <v>1123</v>
      </c>
      <c r="B71" s="393"/>
      <c r="C71" s="393"/>
      <c r="D71" s="393"/>
      <c r="E71" s="393"/>
      <c r="F71" s="393"/>
      <c r="G71" s="393"/>
      <c r="H71" s="393"/>
      <c r="I71" s="393"/>
      <c r="J71" s="393"/>
      <c r="K71" s="393"/>
      <c r="L71" s="393"/>
      <c r="M71" s="393"/>
      <c r="N71" s="393"/>
      <c r="O71" s="393"/>
      <c r="P71" s="393"/>
      <c r="Q71" s="15"/>
      <c r="R71" s="15"/>
      <c r="S71" s="15"/>
      <c r="T71" s="15"/>
      <c r="U71" s="15"/>
      <c r="V71" s="15"/>
      <c r="W71" s="15"/>
      <c r="X71" s="15"/>
      <c r="Y71" s="15"/>
      <c r="Z71" s="15"/>
      <c r="AA71" s="15"/>
      <c r="AB71" s="15"/>
      <c r="AC71" s="15"/>
      <c r="AD71" s="15"/>
    </row>
    <row r="72" spans="1:30" ht="28.95" customHeight="1">
      <c r="A72" s="405" t="s">
        <v>1124</v>
      </c>
      <c r="B72" s="405"/>
      <c r="C72" s="405"/>
      <c r="D72" s="405"/>
      <c r="E72" s="405"/>
      <c r="F72" s="405"/>
      <c r="G72" s="405"/>
      <c r="H72" s="405"/>
      <c r="I72" s="405"/>
      <c r="J72" s="405"/>
      <c r="K72" s="405"/>
      <c r="L72" s="405"/>
      <c r="M72" s="405"/>
      <c r="N72" s="405"/>
      <c r="O72" s="405"/>
      <c r="P72" s="405"/>
      <c r="Q72" s="15"/>
      <c r="R72" s="15"/>
      <c r="S72" s="15"/>
      <c r="T72" s="15"/>
      <c r="U72" s="15"/>
      <c r="V72" s="15"/>
      <c r="W72" s="15"/>
      <c r="X72" s="15"/>
      <c r="Y72" s="15"/>
      <c r="Z72" s="15"/>
      <c r="AA72" s="15"/>
      <c r="AB72" s="15"/>
      <c r="AC72" s="15"/>
      <c r="AD72" s="15"/>
    </row>
    <row r="73" spans="1:30" ht="43.95" customHeight="1">
      <c r="A73" s="105" t="s">
        <v>783</v>
      </c>
      <c r="B73" s="105" t="s">
        <v>335</v>
      </c>
      <c r="C73" s="105" t="s">
        <v>784</v>
      </c>
      <c r="D73" s="105" t="s">
        <v>785</v>
      </c>
      <c r="E73" s="105" t="s">
        <v>719</v>
      </c>
      <c r="F73" s="375" t="s">
        <v>1154</v>
      </c>
      <c r="G73" s="375" t="s">
        <v>105</v>
      </c>
      <c r="H73" s="375" t="s">
        <v>1155</v>
      </c>
      <c r="I73" s="15"/>
      <c r="J73" s="15"/>
      <c r="K73" s="15"/>
      <c r="L73" s="15"/>
      <c r="M73" s="15"/>
      <c r="N73" s="15"/>
      <c r="O73" s="15"/>
      <c r="P73" s="15"/>
      <c r="Q73" s="15"/>
      <c r="R73" s="15"/>
      <c r="S73" s="15"/>
      <c r="T73" s="15"/>
      <c r="U73" s="15"/>
      <c r="V73" s="15"/>
      <c r="W73" s="15"/>
      <c r="X73" s="15"/>
      <c r="Y73" s="15"/>
      <c r="Z73" s="15"/>
      <c r="AA73" s="15"/>
      <c r="AB73" s="15"/>
      <c r="AC73" s="15"/>
      <c r="AD73" s="15"/>
    </row>
    <row r="74" spans="1:30" ht="30" customHeight="1">
      <c r="A74" s="198" t="s">
        <v>109</v>
      </c>
      <c r="B74" s="107"/>
      <c r="C74" s="108"/>
      <c r="D74" s="108"/>
      <c r="E74" s="199" t="s">
        <v>204</v>
      </c>
      <c r="F74" s="376" t="str">
        <f>IF(COUNTIFS('Section A Beam Slab'!$S$6:$S$75,61,'Section A Beam Slab'!$T$6:$T$75,"MB",'Section A Beam Slab'!$F$6:$F$75,"&lt;&gt;")=0,"",SUMIFS('Section A Beam Slab'!$F$6:$F$75,'Section A Beam Slab'!$S$6:$S$75,61,'Section A Beam Slab'!$T$6:$T$75,"MB"))</f>
        <v/>
      </c>
      <c r="G74" s="376" t="str">
        <f>IF(COUNTIFS('Section A Beam Slab'!$S$6:$S$75,61,'Section A Beam Slab'!$T$6:$T$75,"MB",'Section A Beam Slab'!$G$6:$G$75,"&lt;&gt;")=0,"",SUMIFS('Section A Beam Slab'!$G$6:$G$75,'Section A Beam Slab'!$S$6:$S$75,61,'Section A Beam Slab'!$T$6:$T$75,"MB"))</f>
        <v/>
      </c>
      <c r="H74" s="377" t="str">
        <f>IFERROR(SUBSTITUTE(SUBSTITUTE(INDEX('Section A Beam Slab'!$H$6:$H$75,MATCH(1,INDEX(('Section A Beam Slab'!$S$6:$S$75=61)*('Section A Beam Slab'!$T$6:$T$75="MB"),0),0)),"NOT OKAY","NOT OK"),"OKAY","OK"),"")</f>
        <v/>
      </c>
      <c r="I74" s="15"/>
      <c r="J74" s="15"/>
      <c r="K74" s="15"/>
      <c r="L74" s="15"/>
      <c r="M74" s="15"/>
      <c r="N74" s="15"/>
      <c r="O74" s="15"/>
      <c r="P74" s="15"/>
      <c r="Q74" s="15"/>
      <c r="R74" s="15"/>
      <c r="S74" s="15"/>
      <c r="T74" s="15"/>
      <c r="U74" s="15"/>
      <c r="V74" s="15"/>
      <c r="W74" s="15"/>
      <c r="X74" s="15"/>
      <c r="Y74" s="15"/>
      <c r="Z74" s="15"/>
      <c r="AA74" s="15"/>
      <c r="AB74" s="15"/>
      <c r="AC74" s="15"/>
      <c r="AD74" s="15"/>
    </row>
    <row r="75" spans="1:30" ht="30" customHeight="1">
      <c r="A75" s="198" t="s">
        <v>862</v>
      </c>
      <c r="B75" s="107"/>
      <c r="C75" s="108"/>
      <c r="D75" s="108"/>
      <c r="E75" s="199" t="s">
        <v>204</v>
      </c>
      <c r="F75" s="376" t="str">
        <f>IF(COUNTIFS('Section A Beam Slab'!$S$6:$S$75,62,'Section A Beam Slab'!$T$6:$T$75,"MB",'Section A Beam Slab'!$F$6:$F$75,"&lt;&gt;")=0,"",SUMIFS('Section A Beam Slab'!$F$6:$F$75,'Section A Beam Slab'!$S$6:$S$75,62,'Section A Beam Slab'!$T$6:$T$75,"MB"))</f>
        <v/>
      </c>
      <c r="G75" s="376" t="str">
        <f>IF(COUNTIFS('Section A Beam Slab'!$S$6:$S$75,62,'Section A Beam Slab'!$T$6:$T$75,"MB",'Section A Beam Slab'!$G$6:$G$75,"&lt;&gt;")=0,"",SUMIFS('Section A Beam Slab'!$G$6:$G$75,'Section A Beam Slab'!$S$6:$S$75,62,'Section A Beam Slab'!$T$6:$T$75,"MB"))</f>
        <v/>
      </c>
      <c r="H75" s="377" t="str">
        <f>IFERROR(SUBSTITUTE(SUBSTITUTE(INDEX('Section A Beam Slab'!$H$6:$H$75,MATCH(1,INDEX(('Section A Beam Slab'!$S$6:$S$75=62)*('Section A Beam Slab'!$T$6:$T$75="MB"),0),0)),"NOT OKAY","NOT OK"),"OKAY","OK"),"")</f>
        <v/>
      </c>
      <c r="I75" s="15"/>
      <c r="J75" s="15"/>
      <c r="K75" s="15"/>
      <c r="L75" s="15"/>
      <c r="M75" s="15"/>
      <c r="N75" s="15"/>
      <c r="O75" s="15"/>
      <c r="P75" s="15"/>
      <c r="Q75" s="15"/>
      <c r="R75" s="15"/>
      <c r="S75" s="15"/>
      <c r="T75" s="15"/>
      <c r="U75" s="15"/>
      <c r="V75" s="15"/>
      <c r="W75" s="15"/>
      <c r="X75" s="15"/>
      <c r="Y75" s="15"/>
      <c r="Z75" s="15"/>
      <c r="AA75" s="15"/>
      <c r="AB75" s="15"/>
      <c r="AC75" s="15"/>
      <c r="AD75" s="15"/>
    </row>
    <row r="76" spans="1:30" ht="30" customHeight="1">
      <c r="A76" s="198" t="s">
        <v>863</v>
      </c>
      <c r="B76" s="107"/>
      <c r="C76" s="108"/>
      <c r="D76" s="108"/>
      <c r="E76" s="199" t="s">
        <v>204</v>
      </c>
      <c r="F76" s="376" t="str">
        <f>IF(COUNTIFS('Section A Beam Slab'!$S$6:$S$75,63,'Section A Beam Slab'!$T$6:$T$75,"MB",'Section A Beam Slab'!$F$6:$F$75,"&lt;&gt;")=0,"",SUMIFS('Section A Beam Slab'!$F$6:$F$75,'Section A Beam Slab'!$S$6:$S$75,63,'Section A Beam Slab'!$T$6:$T$75,"MB"))</f>
        <v/>
      </c>
      <c r="G76" s="376" t="str">
        <f>IF(COUNTIFS('Section A Beam Slab'!$S$6:$S$75,63,'Section A Beam Slab'!$T$6:$T$75,"MB",'Section A Beam Slab'!$G$6:$G$75,"&lt;&gt;")=0,"",SUMIFS('Section A Beam Slab'!$G$6:$G$75,'Section A Beam Slab'!$S$6:$S$75,63,'Section A Beam Slab'!$T$6:$T$75,"MB"))</f>
        <v/>
      </c>
      <c r="H76" s="377" t="str">
        <f>IFERROR(SUBSTITUTE(SUBSTITUTE(INDEX('Section A Beam Slab'!$H$6:$H$75,MATCH(1,INDEX(('Section A Beam Slab'!$S$6:$S$75=63)*('Section A Beam Slab'!$T$6:$T$75="MB"),0),0)),"NOT OKAY","NOT OK"),"OKAY","OK"),"")</f>
        <v/>
      </c>
      <c r="I76" s="15"/>
      <c r="J76" s="15"/>
      <c r="K76" s="15"/>
      <c r="L76" s="15"/>
      <c r="M76" s="15"/>
      <c r="N76" s="15"/>
      <c r="O76" s="15"/>
      <c r="P76" s="15"/>
      <c r="Q76" s="15"/>
      <c r="R76" s="15"/>
      <c r="S76" s="15"/>
      <c r="T76" s="15"/>
      <c r="U76" s="15"/>
      <c r="V76" s="15"/>
      <c r="W76" s="15"/>
      <c r="X76" s="15"/>
      <c r="Y76" s="15"/>
      <c r="Z76" s="15"/>
      <c r="AA76" s="15"/>
      <c r="AB76" s="15"/>
      <c r="AC76" s="15"/>
      <c r="AD76" s="15"/>
    </row>
    <row r="77" spans="1:30" ht="30" customHeight="1">
      <c r="A77" s="198" t="s">
        <v>864</v>
      </c>
      <c r="B77" s="107"/>
      <c r="C77" s="108"/>
      <c r="D77" s="108"/>
      <c r="E77" s="199" t="s">
        <v>204</v>
      </c>
      <c r="F77" s="376" t="str">
        <f>IF(COUNTIFS('Section A Beam Slab'!$S$6:$S$75,64,'Section A Beam Slab'!$T$6:$T$75,"MB",'Section A Beam Slab'!$F$6:$F$75,"&lt;&gt;")=0,"",SUMIFS('Section A Beam Slab'!$F$6:$F$75,'Section A Beam Slab'!$S$6:$S$75,64,'Section A Beam Slab'!$T$6:$T$75,"MB"))</f>
        <v/>
      </c>
      <c r="G77" s="376" t="str">
        <f>IF(COUNTIFS('Section A Beam Slab'!$S$6:$S$75,64,'Section A Beam Slab'!$T$6:$T$75,"MB",'Section A Beam Slab'!$G$6:$G$75,"&lt;&gt;")=0,"",SUMIFS('Section A Beam Slab'!$G$6:$G$75,'Section A Beam Slab'!$S$6:$S$75,64,'Section A Beam Slab'!$T$6:$T$75,"MB"))</f>
        <v/>
      </c>
      <c r="H77" s="377" t="str">
        <f>IFERROR(SUBSTITUTE(SUBSTITUTE(INDEX('Section A Beam Slab'!$H$6:$H$75,MATCH(1,INDEX(('Section A Beam Slab'!$S$6:$S$75=64)*('Section A Beam Slab'!$T$6:$T$75="MB"),0),0)),"NOT OKAY","NOT OK"),"OKAY","OK"),"")</f>
        <v/>
      </c>
      <c r="I77" s="15"/>
      <c r="J77" s="15"/>
      <c r="K77" s="15"/>
      <c r="L77" s="15"/>
      <c r="M77" s="15"/>
      <c r="N77" s="15"/>
      <c r="O77" s="15"/>
      <c r="P77" s="15"/>
      <c r="Q77" s="15"/>
      <c r="R77" s="15"/>
      <c r="S77" s="15"/>
      <c r="T77" s="15"/>
      <c r="U77" s="15"/>
      <c r="V77" s="15"/>
      <c r="W77" s="15"/>
      <c r="X77" s="15"/>
      <c r="Y77" s="15"/>
      <c r="Z77" s="15"/>
      <c r="AA77" s="15"/>
      <c r="AB77" s="15"/>
      <c r="AC77" s="15"/>
      <c r="AD77" s="15"/>
    </row>
    <row r="78" spans="1:30" ht="30" customHeight="1">
      <c r="A78" s="198" t="s">
        <v>865</v>
      </c>
      <c r="B78" s="107"/>
      <c r="C78" s="108"/>
      <c r="D78" s="108"/>
      <c r="E78" s="199" t="s">
        <v>204</v>
      </c>
      <c r="F78" s="376" t="str">
        <f>IF(COUNTIFS('Section A Beam Slab'!$S$6:$S$75,65,'Section A Beam Slab'!$T$6:$T$75,"MB",'Section A Beam Slab'!$F$6:$F$75,"&lt;&gt;")=0,"",SUMIFS('Section A Beam Slab'!$F$6:$F$75,'Section A Beam Slab'!$S$6:$S$75,65,'Section A Beam Slab'!$T$6:$T$75,"MB"))</f>
        <v/>
      </c>
      <c r="G78" s="376" t="str">
        <f>IF(COUNTIFS('Section A Beam Slab'!$S$6:$S$75,65,'Section A Beam Slab'!$T$6:$T$75,"MB",'Section A Beam Slab'!$G$6:$G$75,"&lt;&gt;")=0,"",SUMIFS('Section A Beam Slab'!$G$6:$G$75,'Section A Beam Slab'!$S$6:$S$75,65,'Section A Beam Slab'!$T$6:$T$75,"MB"))</f>
        <v/>
      </c>
      <c r="H78" s="377" t="str">
        <f>IFERROR(SUBSTITUTE(SUBSTITUTE(INDEX('Section A Beam Slab'!$H$6:$H$75,MATCH(1,INDEX(('Section A Beam Slab'!$S$6:$S$75=65)*('Section A Beam Slab'!$T$6:$T$75="MB"),0),0)),"NOT OKAY","NOT OK"),"OKAY","OK"),"")</f>
        <v/>
      </c>
      <c r="I78" s="15"/>
      <c r="J78" s="15"/>
      <c r="K78" s="15"/>
      <c r="L78" s="15"/>
      <c r="M78" s="15"/>
      <c r="N78" s="15"/>
      <c r="O78" s="15"/>
      <c r="P78" s="15"/>
      <c r="Q78" s="15"/>
      <c r="R78" s="15"/>
      <c r="S78" s="15"/>
      <c r="T78" s="15"/>
      <c r="U78" s="15"/>
      <c r="V78" s="15"/>
      <c r="W78" s="15"/>
      <c r="X78" s="15"/>
      <c r="Y78" s="15"/>
      <c r="Z78" s="15"/>
      <c r="AA78" s="15"/>
      <c r="AB78" s="15"/>
      <c r="AC78" s="15"/>
      <c r="AD78" s="15"/>
    </row>
    <row r="79" spans="1:30" ht="30" customHeight="1">
      <c r="A79" s="198" t="s">
        <v>866</v>
      </c>
      <c r="B79" s="107"/>
      <c r="C79" s="108"/>
      <c r="D79" s="108"/>
      <c r="E79" s="199" t="s">
        <v>204</v>
      </c>
      <c r="F79" s="376" t="str">
        <f>IF(COUNTIFS('Section A Beam Slab'!$S$6:$S$75,66,'Section A Beam Slab'!$T$6:$T$75,"MB",'Section A Beam Slab'!$F$6:$F$75,"&lt;&gt;")=0,"",SUMIFS('Section A Beam Slab'!$F$6:$F$75,'Section A Beam Slab'!$S$6:$S$75,66,'Section A Beam Slab'!$T$6:$T$75,"MB"))</f>
        <v/>
      </c>
      <c r="G79" s="376" t="str">
        <f>IF(COUNTIFS('Section A Beam Slab'!$S$6:$S$75,66,'Section A Beam Slab'!$T$6:$T$75,"MB",'Section A Beam Slab'!$G$6:$G$75,"&lt;&gt;")=0,"",SUMIFS('Section A Beam Slab'!$G$6:$G$75,'Section A Beam Slab'!$S$6:$S$75,66,'Section A Beam Slab'!$T$6:$T$75,"MB"))</f>
        <v/>
      </c>
      <c r="H79" s="377" t="str">
        <f>IFERROR(SUBSTITUTE(SUBSTITUTE(INDEX('Section A Beam Slab'!$H$6:$H$75,MATCH(1,INDEX(('Section A Beam Slab'!$S$6:$S$75=66)*('Section A Beam Slab'!$T$6:$T$75="MB"),0),0)),"NOT OKAY","NOT OK"),"OKAY","OK"),"")</f>
        <v/>
      </c>
      <c r="I79" s="15"/>
      <c r="J79" s="15"/>
      <c r="K79" s="15"/>
      <c r="L79" s="15"/>
      <c r="M79" s="15"/>
      <c r="N79" s="15"/>
      <c r="O79" s="15"/>
      <c r="P79" s="15"/>
      <c r="Q79" s="15"/>
      <c r="R79" s="15"/>
      <c r="S79" s="15"/>
      <c r="T79" s="15"/>
      <c r="U79" s="15"/>
      <c r="V79" s="15"/>
      <c r="W79" s="15"/>
      <c r="X79" s="15"/>
      <c r="Y79" s="15"/>
      <c r="Z79" s="15"/>
      <c r="AA79" s="15"/>
      <c r="AB79" s="15"/>
      <c r="AC79" s="15"/>
      <c r="AD79" s="15"/>
    </row>
    <row r="80" spans="1:30" ht="30" customHeight="1">
      <c r="A80" s="198" t="s">
        <v>867</v>
      </c>
      <c r="B80" s="107"/>
      <c r="C80" s="108"/>
      <c r="D80" s="108"/>
      <c r="E80" s="199" t="s">
        <v>204</v>
      </c>
      <c r="F80" s="376" t="str">
        <f>IF(COUNTIFS('Section A Beam Slab'!$S$6:$S$75,67,'Section A Beam Slab'!$T$6:$T$75,"MB",'Section A Beam Slab'!$F$6:$F$75,"&lt;&gt;")=0,"",SUMIFS('Section A Beam Slab'!$F$6:$F$75,'Section A Beam Slab'!$S$6:$S$75,67,'Section A Beam Slab'!$T$6:$T$75,"MB"))</f>
        <v/>
      </c>
      <c r="G80" s="376" t="str">
        <f>IF(COUNTIFS('Section A Beam Slab'!$S$6:$S$75,67,'Section A Beam Slab'!$T$6:$T$75,"MB",'Section A Beam Slab'!$G$6:$G$75,"&lt;&gt;")=0,"",SUMIFS('Section A Beam Slab'!$G$6:$G$75,'Section A Beam Slab'!$S$6:$S$75,67,'Section A Beam Slab'!$T$6:$T$75,"MB"))</f>
        <v/>
      </c>
      <c r="H80" s="377" t="str">
        <f>IFERROR(SUBSTITUTE(SUBSTITUTE(INDEX('Section A Beam Slab'!$H$6:$H$75,MATCH(1,INDEX(('Section A Beam Slab'!$S$6:$S$75=67)*('Section A Beam Slab'!$T$6:$T$75="MB"),0),0)),"NOT OKAY","NOT OK"),"OKAY","OK"),"")</f>
        <v/>
      </c>
      <c r="I80" s="15"/>
      <c r="J80" s="15"/>
      <c r="K80" s="15"/>
      <c r="L80" s="15"/>
      <c r="M80" s="15"/>
      <c r="N80" s="15"/>
      <c r="O80" s="15"/>
      <c r="P80" s="15"/>
      <c r="Q80" s="15"/>
      <c r="R80" s="15"/>
      <c r="S80" s="15"/>
      <c r="T80" s="15"/>
      <c r="U80" s="15"/>
      <c r="V80" s="15"/>
      <c r="W80" s="15"/>
      <c r="X80" s="15"/>
      <c r="Y80" s="15"/>
      <c r="Z80" s="15"/>
      <c r="AA80" s="15"/>
      <c r="AB80" s="15"/>
      <c r="AC80" s="15"/>
      <c r="AD80" s="15"/>
    </row>
    <row r="81" spans="1:30" ht="30" customHeight="1">
      <c r="A81" s="198" t="s">
        <v>868</v>
      </c>
      <c r="B81" s="107"/>
      <c r="C81" s="108"/>
      <c r="D81" s="108"/>
      <c r="E81" s="199" t="s">
        <v>204</v>
      </c>
      <c r="F81" s="376" t="str">
        <f>IF(COUNTIFS('Section A Beam Slab'!$S$6:$S$75,68,'Section A Beam Slab'!$T$6:$T$75,"MB",'Section A Beam Slab'!$F$6:$F$75,"&lt;&gt;")=0,"",SUMIFS('Section A Beam Slab'!$F$6:$F$75,'Section A Beam Slab'!$S$6:$S$75,68,'Section A Beam Slab'!$T$6:$T$75,"MB"))</f>
        <v/>
      </c>
      <c r="G81" s="376" t="str">
        <f>IF(COUNTIFS('Section A Beam Slab'!$S$6:$S$75,68,'Section A Beam Slab'!$T$6:$T$75,"MB",'Section A Beam Slab'!$G$6:$G$75,"&lt;&gt;")=0,"",SUMIFS('Section A Beam Slab'!$G$6:$G$75,'Section A Beam Slab'!$S$6:$S$75,68,'Section A Beam Slab'!$T$6:$T$75,"MB"))</f>
        <v/>
      </c>
      <c r="H81" s="377" t="str">
        <f>IFERROR(SUBSTITUTE(SUBSTITUTE(INDEX('Section A Beam Slab'!$H$6:$H$75,MATCH(1,INDEX(('Section A Beam Slab'!$S$6:$S$75=68)*('Section A Beam Slab'!$T$6:$T$75="MB"),0),0)),"NOT OKAY","NOT OK"),"OKAY","OK"),"")</f>
        <v/>
      </c>
      <c r="I81" s="15"/>
      <c r="J81" s="15"/>
      <c r="K81" s="15"/>
      <c r="L81" s="15"/>
      <c r="M81" s="15"/>
      <c r="N81" s="15"/>
      <c r="O81" s="15"/>
      <c r="P81" s="15"/>
      <c r="Q81" s="15"/>
      <c r="R81" s="15"/>
      <c r="S81" s="15"/>
      <c r="T81" s="15"/>
      <c r="U81" s="15"/>
      <c r="V81" s="15"/>
      <c r="W81" s="15"/>
      <c r="X81" s="15"/>
      <c r="Y81" s="15"/>
      <c r="Z81" s="15"/>
      <c r="AA81" s="15"/>
      <c r="AB81" s="15"/>
      <c r="AC81" s="15"/>
      <c r="AD81" s="15"/>
    </row>
    <row r="82" spans="1:30" ht="30" customHeight="1">
      <c r="A82" s="198" t="s">
        <v>869</v>
      </c>
      <c r="B82" s="107"/>
      <c r="C82" s="108"/>
      <c r="D82" s="108"/>
      <c r="E82" s="199" t="s">
        <v>204</v>
      </c>
      <c r="F82" s="376" t="str">
        <f>IF(COUNTIFS('Section A Beam Slab'!$S$6:$S$75,69,'Section A Beam Slab'!$T$6:$T$75,"MB",'Section A Beam Slab'!$F$6:$F$75,"&lt;&gt;")=0,"",SUMIFS('Section A Beam Slab'!$F$6:$F$75,'Section A Beam Slab'!$S$6:$S$75,69,'Section A Beam Slab'!$T$6:$T$75,"MB"))</f>
        <v/>
      </c>
      <c r="G82" s="376" t="str">
        <f>IF(COUNTIFS('Section A Beam Slab'!$S$6:$S$75,69,'Section A Beam Slab'!$T$6:$T$75,"MB",'Section A Beam Slab'!$G$6:$G$75,"&lt;&gt;")=0,"",SUMIFS('Section A Beam Slab'!$G$6:$G$75,'Section A Beam Slab'!$S$6:$S$75,69,'Section A Beam Slab'!$T$6:$T$75,"MB"))</f>
        <v/>
      </c>
      <c r="H82" s="377" t="str">
        <f>IFERROR(SUBSTITUTE(SUBSTITUTE(INDEX('Section A Beam Slab'!$H$6:$H$75,MATCH(1,INDEX(('Section A Beam Slab'!$S$6:$S$75=69)*('Section A Beam Slab'!$T$6:$T$75="MB"),0),0)),"NOT OKAY","NOT OK"),"OKAY","OK"),"")</f>
        <v/>
      </c>
      <c r="I82" s="15"/>
      <c r="J82" s="15"/>
      <c r="K82" s="15"/>
      <c r="L82" s="15"/>
      <c r="M82" s="15"/>
      <c r="N82" s="15"/>
      <c r="O82" s="15"/>
      <c r="P82" s="15"/>
      <c r="Q82" s="15"/>
      <c r="R82" s="15"/>
      <c r="S82" s="15"/>
      <c r="T82" s="15"/>
      <c r="U82" s="15"/>
      <c r="V82" s="15"/>
      <c r="W82" s="15"/>
      <c r="X82" s="15"/>
      <c r="Y82" s="15"/>
      <c r="Z82" s="15"/>
      <c r="AA82" s="15"/>
      <c r="AB82" s="15"/>
      <c r="AC82" s="15"/>
      <c r="AD82" s="15"/>
    </row>
    <row r="83" spans="1:30" ht="30" customHeight="1">
      <c r="A83" s="198" t="s">
        <v>870</v>
      </c>
      <c r="B83" s="107"/>
      <c r="C83" s="108"/>
      <c r="D83" s="108"/>
      <c r="E83" s="199" t="s">
        <v>204</v>
      </c>
      <c r="F83" s="376" t="str">
        <f>IF(COUNTIFS('Section A Beam Slab'!$S$6:$S$75,70,'Section A Beam Slab'!$T$6:$T$75,"MB",'Section A Beam Slab'!$F$6:$F$75,"&lt;&gt;")=0,"",SUMIFS('Section A Beam Slab'!$F$6:$F$75,'Section A Beam Slab'!$S$6:$S$75,70,'Section A Beam Slab'!$T$6:$T$75,"MB"))</f>
        <v/>
      </c>
      <c r="G83" s="376" t="str">
        <f>IF(COUNTIFS('Section A Beam Slab'!$S$6:$S$75,70,'Section A Beam Slab'!$T$6:$T$75,"MB",'Section A Beam Slab'!$G$6:$G$75,"&lt;&gt;")=0,"",SUMIFS('Section A Beam Slab'!$G$6:$G$75,'Section A Beam Slab'!$S$6:$S$75,70,'Section A Beam Slab'!$T$6:$T$75,"MB"))</f>
        <v/>
      </c>
      <c r="H83" s="377" t="str">
        <f>IFERROR(SUBSTITUTE(SUBSTITUTE(INDEX('Section A Beam Slab'!$H$6:$H$75,MATCH(1,INDEX(('Section A Beam Slab'!$S$6:$S$75=70)*('Section A Beam Slab'!$T$6:$T$75="MB"),0),0)),"NOT OKAY","NOT OK"),"OKAY","OK"),"")</f>
        <v/>
      </c>
      <c r="I83" s="15"/>
      <c r="J83" s="15"/>
      <c r="K83" s="15"/>
      <c r="L83" s="15"/>
      <c r="M83" s="15"/>
      <c r="N83" s="15"/>
      <c r="O83" s="15"/>
      <c r="P83" s="15"/>
      <c r="Q83" s="15"/>
      <c r="R83" s="15"/>
      <c r="S83" s="15"/>
      <c r="T83" s="15"/>
      <c r="U83" s="15"/>
      <c r="V83" s="15"/>
      <c r="W83" s="15"/>
      <c r="X83" s="15"/>
      <c r="Y83" s="15"/>
      <c r="Z83" s="15"/>
      <c r="AA83" s="15"/>
      <c r="AB83" s="15"/>
      <c r="AC83" s="15"/>
      <c r="AD83" s="15"/>
    </row>
    <row r="84" spans="1:30" ht="30" customHeight="1">
      <c r="A84" s="198" t="s">
        <v>871</v>
      </c>
      <c r="B84" s="107"/>
      <c r="C84" s="108"/>
      <c r="D84" s="108"/>
      <c r="E84" s="199" t="s">
        <v>204</v>
      </c>
      <c r="F84" s="376" t="str">
        <f>IF(COUNTIFS('Section A Beam Slab'!$S$6:$S$75,71,'Section A Beam Slab'!$T$6:$T$75,"MB",'Section A Beam Slab'!$F$6:$F$75,"&lt;&gt;")=0,"",SUMIFS('Section A Beam Slab'!$F$6:$F$75,'Section A Beam Slab'!$S$6:$S$75,71,'Section A Beam Slab'!$T$6:$T$75,"MB"))</f>
        <v/>
      </c>
      <c r="G84" s="376" t="str">
        <f>IF(COUNTIFS('Section A Beam Slab'!$S$6:$S$75,71,'Section A Beam Slab'!$T$6:$T$75,"MB",'Section A Beam Slab'!$G$6:$G$75,"&lt;&gt;")=0,"",SUMIFS('Section A Beam Slab'!$G$6:$G$75,'Section A Beam Slab'!$S$6:$S$75,71,'Section A Beam Slab'!$T$6:$T$75,"MB"))</f>
        <v/>
      </c>
      <c r="H84" s="377" t="str">
        <f>IFERROR(SUBSTITUTE(SUBSTITUTE(INDEX('Section A Beam Slab'!$H$6:$H$75,MATCH(1,INDEX(('Section A Beam Slab'!$S$6:$S$75=71)*('Section A Beam Slab'!$T$6:$T$75="MB"),0),0)),"NOT OKAY","NOT OK"),"OKAY","OK"),"")</f>
        <v/>
      </c>
      <c r="I84" s="15"/>
      <c r="J84" s="15"/>
      <c r="K84" s="15"/>
      <c r="L84" s="15"/>
      <c r="M84" s="15"/>
      <c r="N84" s="15"/>
      <c r="O84" s="15"/>
      <c r="P84" s="15"/>
      <c r="Q84" s="15"/>
      <c r="R84" s="15"/>
      <c r="S84" s="15"/>
      <c r="T84" s="15"/>
      <c r="U84" s="15"/>
      <c r="V84" s="15"/>
      <c r="W84" s="15"/>
      <c r="X84" s="15"/>
      <c r="Y84" s="15"/>
      <c r="Z84" s="15"/>
      <c r="AA84" s="15"/>
      <c r="AB84" s="15"/>
      <c r="AC84" s="15"/>
      <c r="AD84" s="15"/>
    </row>
    <row r="85" spans="1:30" ht="30" customHeight="1">
      <c r="A85" s="198" t="s">
        <v>872</v>
      </c>
      <c r="B85" s="107"/>
      <c r="C85" s="108"/>
      <c r="D85" s="108"/>
      <c r="E85" s="199" t="s">
        <v>204</v>
      </c>
      <c r="F85" s="376" t="str">
        <f>IF(COUNTIFS('Section A Beam Slab'!$S$6:$S$75,72,'Section A Beam Slab'!$T$6:$T$75,"MB",'Section A Beam Slab'!$F$6:$F$75,"&lt;&gt;")=0,"",SUMIFS('Section A Beam Slab'!$F$6:$F$75,'Section A Beam Slab'!$S$6:$S$75,72,'Section A Beam Slab'!$T$6:$T$75,"MB"))</f>
        <v/>
      </c>
      <c r="G85" s="376" t="str">
        <f>IF(COUNTIFS('Section A Beam Slab'!$S$6:$S$75,72,'Section A Beam Slab'!$T$6:$T$75,"MB",'Section A Beam Slab'!$G$6:$G$75,"&lt;&gt;")=0,"",SUMIFS('Section A Beam Slab'!$G$6:$G$75,'Section A Beam Slab'!$S$6:$S$75,72,'Section A Beam Slab'!$T$6:$T$75,"MB"))</f>
        <v/>
      </c>
      <c r="H85" s="377" t="str">
        <f>IFERROR(SUBSTITUTE(SUBSTITUTE(INDEX('Section A Beam Slab'!$H$6:$H$75,MATCH(1,INDEX(('Section A Beam Slab'!$S$6:$S$75=72)*('Section A Beam Slab'!$T$6:$T$75="MB"),0),0)),"NOT OKAY","NOT OK"),"OKAY","OK"),"")</f>
        <v/>
      </c>
      <c r="I85" s="15"/>
      <c r="J85" s="15"/>
      <c r="K85" s="15"/>
      <c r="L85" s="15"/>
      <c r="M85" s="15"/>
      <c r="N85" s="15"/>
      <c r="O85" s="15"/>
      <c r="P85" s="15"/>
      <c r="Q85" s="15"/>
      <c r="R85" s="15"/>
      <c r="S85" s="15"/>
      <c r="T85" s="15"/>
      <c r="U85" s="15"/>
      <c r="V85" s="15"/>
      <c r="W85" s="15"/>
      <c r="X85" s="15"/>
      <c r="Y85" s="15"/>
      <c r="Z85" s="15"/>
      <c r="AA85" s="15"/>
      <c r="AB85" s="15"/>
      <c r="AC85" s="15"/>
      <c r="AD85" s="15"/>
    </row>
    <row r="86" spans="1:30" ht="30" customHeight="1">
      <c r="A86" s="198" t="s">
        <v>873</v>
      </c>
      <c r="B86" s="107"/>
      <c r="C86" s="108"/>
      <c r="D86" s="108"/>
      <c r="E86" s="199" t="s">
        <v>204</v>
      </c>
      <c r="F86" s="376" t="str">
        <f>IF(COUNTIFS('Section A Beam Slab'!$S$6:$S$75,73,'Section A Beam Slab'!$T$6:$T$75,"MB",'Section A Beam Slab'!$F$6:$F$75,"&lt;&gt;")=0,"",SUMIFS('Section A Beam Slab'!$F$6:$F$75,'Section A Beam Slab'!$S$6:$S$75,73,'Section A Beam Slab'!$T$6:$T$75,"MB"))</f>
        <v/>
      </c>
      <c r="G86" s="376" t="str">
        <f>IF(COUNTIFS('Section A Beam Slab'!$S$6:$S$75,73,'Section A Beam Slab'!$T$6:$T$75,"MB",'Section A Beam Slab'!$G$6:$G$75,"&lt;&gt;")=0,"",SUMIFS('Section A Beam Slab'!$G$6:$G$75,'Section A Beam Slab'!$S$6:$S$75,73,'Section A Beam Slab'!$T$6:$T$75,"MB"))</f>
        <v/>
      </c>
      <c r="H86" s="377" t="str">
        <f>IFERROR(SUBSTITUTE(SUBSTITUTE(INDEX('Section A Beam Slab'!$H$6:$H$75,MATCH(1,INDEX(('Section A Beam Slab'!$S$6:$S$75=73)*('Section A Beam Slab'!$T$6:$T$75="MB"),0),0)),"NOT OKAY","NOT OK"),"OKAY","OK"),"")</f>
        <v/>
      </c>
      <c r="I86" s="15"/>
      <c r="J86" s="15"/>
      <c r="K86" s="15"/>
      <c r="L86" s="15"/>
      <c r="M86" s="15"/>
      <c r="N86" s="15"/>
      <c r="O86" s="15"/>
      <c r="P86" s="15"/>
      <c r="Q86" s="15"/>
      <c r="R86" s="15"/>
      <c r="S86" s="15"/>
      <c r="T86" s="15"/>
      <c r="U86" s="15"/>
      <c r="V86" s="15"/>
      <c r="W86" s="15"/>
      <c r="X86" s="15"/>
      <c r="Y86" s="15"/>
      <c r="Z86" s="15"/>
      <c r="AA86" s="15"/>
      <c r="AB86" s="15"/>
      <c r="AC86" s="15"/>
      <c r="AD86" s="15"/>
    </row>
    <row r="87" spans="1:30" ht="30" customHeight="1">
      <c r="A87" s="198" t="s">
        <v>874</v>
      </c>
      <c r="B87" s="107"/>
      <c r="C87" s="108"/>
      <c r="D87" s="108"/>
      <c r="E87" s="199" t="s">
        <v>204</v>
      </c>
      <c r="F87" s="376" t="str">
        <f>IF(COUNTIFS('Section A Beam Slab'!$S$6:$S$75,74,'Section A Beam Slab'!$T$6:$T$75,"MB",'Section A Beam Slab'!$F$6:$F$75,"&lt;&gt;")=0,"",SUMIFS('Section A Beam Slab'!$F$6:$F$75,'Section A Beam Slab'!$S$6:$S$75,74,'Section A Beam Slab'!$T$6:$T$75,"MB"))</f>
        <v/>
      </c>
      <c r="G87" s="376" t="str">
        <f>IF(COUNTIFS('Section A Beam Slab'!$S$6:$S$75,74,'Section A Beam Slab'!$T$6:$T$75,"MB",'Section A Beam Slab'!$G$6:$G$75,"&lt;&gt;")=0,"",SUMIFS('Section A Beam Slab'!$G$6:$G$75,'Section A Beam Slab'!$S$6:$S$75,74,'Section A Beam Slab'!$T$6:$T$75,"MB"))</f>
        <v/>
      </c>
      <c r="H87" s="377" t="str">
        <f>IFERROR(SUBSTITUTE(SUBSTITUTE(INDEX('Section A Beam Slab'!$H$6:$H$75,MATCH(1,INDEX(('Section A Beam Slab'!$S$6:$S$75=74)*('Section A Beam Slab'!$T$6:$T$75="MB"),0),0)),"NOT OKAY","NOT OK"),"OKAY","OK"),"")</f>
        <v/>
      </c>
      <c r="I87" s="15"/>
      <c r="J87" s="15"/>
      <c r="K87" s="15"/>
      <c r="L87" s="15"/>
      <c r="M87" s="15"/>
      <c r="N87" s="15"/>
      <c r="O87" s="15"/>
      <c r="P87" s="15"/>
      <c r="Q87" s="15"/>
      <c r="R87" s="15"/>
      <c r="S87" s="15"/>
      <c r="T87" s="15"/>
      <c r="U87" s="15"/>
      <c r="V87" s="15"/>
      <c r="W87" s="15"/>
      <c r="X87" s="15"/>
      <c r="Y87" s="15"/>
      <c r="Z87" s="15"/>
      <c r="AA87" s="15"/>
      <c r="AB87" s="15"/>
      <c r="AC87" s="15"/>
      <c r="AD87" s="15"/>
    </row>
    <row r="88" spans="1:30" ht="30" customHeight="1">
      <c r="A88" s="198" t="s">
        <v>875</v>
      </c>
      <c r="B88" s="107"/>
      <c r="C88" s="108"/>
      <c r="D88" s="108"/>
      <c r="E88" s="199" t="s">
        <v>204</v>
      </c>
      <c r="F88" s="376" t="str">
        <f>IF(COUNTIFS('Section A Beam Slab'!$S$6:$S$75,75,'Section A Beam Slab'!$T$6:$T$75,"MB",'Section A Beam Slab'!$F$6:$F$75,"&lt;&gt;")=0,"",SUMIFS('Section A Beam Slab'!$F$6:$F$75,'Section A Beam Slab'!$S$6:$S$75,75,'Section A Beam Slab'!$T$6:$T$75,"MB"))</f>
        <v/>
      </c>
      <c r="G88" s="376" t="str">
        <f>IF(COUNTIFS('Section A Beam Slab'!$S$6:$S$75,75,'Section A Beam Slab'!$T$6:$T$75,"MB",'Section A Beam Slab'!$G$6:$G$75,"&lt;&gt;")=0,"",SUMIFS('Section A Beam Slab'!$G$6:$G$75,'Section A Beam Slab'!$S$6:$S$75,75,'Section A Beam Slab'!$T$6:$T$75,"MB"))</f>
        <v/>
      </c>
      <c r="H88" s="377" t="str">
        <f>IFERROR(SUBSTITUTE(SUBSTITUTE(INDEX('Section A Beam Slab'!$H$6:$H$75,MATCH(1,INDEX(('Section A Beam Slab'!$S$6:$S$75=75)*('Section A Beam Slab'!$T$6:$T$75="MB"),0),0)),"NOT OKAY","NOT OK"),"OKAY","OK"),"")</f>
        <v/>
      </c>
      <c r="I88" s="15"/>
      <c r="J88" s="15"/>
      <c r="K88" s="15"/>
      <c r="L88" s="15"/>
      <c r="M88" s="15"/>
      <c r="N88" s="15"/>
      <c r="O88" s="15"/>
      <c r="P88" s="15"/>
      <c r="Q88" s="15"/>
      <c r="R88" s="15"/>
      <c r="S88" s="15"/>
      <c r="T88" s="15"/>
      <c r="U88" s="15"/>
      <c r="V88" s="15"/>
      <c r="W88" s="15"/>
      <c r="X88" s="15"/>
      <c r="Y88" s="15"/>
      <c r="Z88" s="15"/>
      <c r="AA88" s="15"/>
      <c r="AB88" s="15"/>
      <c r="AC88" s="15"/>
      <c r="AD88" s="15"/>
    </row>
    <row r="89" spans="1:30" ht="30" customHeight="1">
      <c r="A89" s="198" t="s">
        <v>876</v>
      </c>
      <c r="B89" s="107"/>
      <c r="C89" s="108"/>
      <c r="D89" s="108"/>
      <c r="E89" s="199" t="s">
        <v>204</v>
      </c>
      <c r="F89" s="376" t="str">
        <f>IF(COUNTIFS('Section A Beam Slab'!$S$6:$S$75,76,'Section A Beam Slab'!$T$6:$T$75,"MB",'Section A Beam Slab'!$F$6:$F$75,"&lt;&gt;")=0,"",SUMIFS('Section A Beam Slab'!$F$6:$F$75,'Section A Beam Slab'!$S$6:$S$75,76,'Section A Beam Slab'!$T$6:$T$75,"MB"))</f>
        <v/>
      </c>
      <c r="G89" s="376" t="str">
        <f>IF(COUNTIFS('Section A Beam Slab'!$S$6:$S$75,76,'Section A Beam Slab'!$T$6:$T$75,"MB",'Section A Beam Slab'!$G$6:$G$75,"&lt;&gt;")=0,"",SUMIFS('Section A Beam Slab'!$G$6:$G$75,'Section A Beam Slab'!$S$6:$S$75,76,'Section A Beam Slab'!$T$6:$T$75,"MB"))</f>
        <v/>
      </c>
      <c r="H89" s="377" t="str">
        <f>IFERROR(SUBSTITUTE(SUBSTITUTE(INDEX('Section A Beam Slab'!$H$6:$H$75,MATCH(1,INDEX(('Section A Beam Slab'!$S$6:$S$75=76)*('Section A Beam Slab'!$T$6:$T$75="MB"),0),0)),"NOT OKAY","NOT OK"),"OKAY","OK"),"")</f>
        <v/>
      </c>
      <c r="I89" s="15"/>
      <c r="J89" s="15"/>
      <c r="K89" s="15"/>
      <c r="L89" s="15"/>
      <c r="M89" s="15"/>
      <c r="N89" s="15"/>
      <c r="O89" s="15"/>
      <c r="P89" s="15"/>
      <c r="Q89" s="15"/>
      <c r="R89" s="15"/>
      <c r="S89" s="15"/>
      <c r="T89" s="15"/>
      <c r="U89" s="15"/>
      <c r="V89" s="15"/>
      <c r="W89" s="15"/>
      <c r="X89" s="15"/>
      <c r="Y89" s="15"/>
      <c r="Z89" s="15"/>
      <c r="AA89" s="15"/>
      <c r="AB89" s="15"/>
      <c r="AC89" s="15"/>
      <c r="AD89" s="15"/>
    </row>
    <row r="90" spans="1:30" ht="30" customHeight="1">
      <c r="A90" s="198" t="s">
        <v>877</v>
      </c>
      <c r="B90" s="107"/>
      <c r="C90" s="108"/>
      <c r="D90" s="108"/>
      <c r="E90" s="199" t="s">
        <v>204</v>
      </c>
      <c r="F90" s="376" t="str">
        <f>IF(COUNTIFS('Section A Beam Slab'!$S$6:$S$75,77,'Section A Beam Slab'!$T$6:$T$75,"MB",'Section A Beam Slab'!$F$6:$F$75,"&lt;&gt;")=0,"",SUMIFS('Section A Beam Slab'!$F$6:$F$75,'Section A Beam Slab'!$S$6:$S$75,77,'Section A Beam Slab'!$T$6:$T$75,"MB"))</f>
        <v/>
      </c>
      <c r="G90" s="376" t="str">
        <f>IF(COUNTIFS('Section A Beam Slab'!$S$6:$S$75,77,'Section A Beam Slab'!$T$6:$T$75,"MB",'Section A Beam Slab'!$G$6:$G$75,"&lt;&gt;")=0,"",SUMIFS('Section A Beam Slab'!$G$6:$G$75,'Section A Beam Slab'!$S$6:$S$75,77,'Section A Beam Slab'!$T$6:$T$75,"MB"))</f>
        <v/>
      </c>
      <c r="H90" s="377" t="str">
        <f>IFERROR(SUBSTITUTE(SUBSTITUTE(INDEX('Section A Beam Slab'!$H$6:$H$75,MATCH(1,INDEX(('Section A Beam Slab'!$S$6:$S$75=77)*('Section A Beam Slab'!$T$6:$T$75="MB"),0),0)),"NOT OKAY","NOT OK"),"OKAY","OK"),"")</f>
        <v/>
      </c>
      <c r="I90" s="15"/>
      <c r="J90" s="15"/>
      <c r="K90" s="15"/>
      <c r="L90" s="15"/>
      <c r="M90" s="15"/>
      <c r="N90" s="15"/>
      <c r="O90" s="15"/>
      <c r="P90" s="15"/>
      <c r="Q90" s="15"/>
      <c r="R90" s="15"/>
      <c r="S90" s="15"/>
      <c r="T90" s="15"/>
      <c r="U90" s="15"/>
      <c r="V90" s="15"/>
      <c r="W90" s="15"/>
      <c r="X90" s="15"/>
      <c r="Y90" s="15"/>
      <c r="Z90" s="15"/>
      <c r="AA90" s="15"/>
      <c r="AB90" s="15"/>
      <c r="AC90" s="15"/>
      <c r="AD90" s="15"/>
    </row>
    <row r="91" spans="1:30" ht="30" customHeight="1">
      <c r="A91" s="198" t="s">
        <v>878</v>
      </c>
      <c r="B91" s="107"/>
      <c r="C91" s="108"/>
      <c r="D91" s="108"/>
      <c r="E91" s="199" t="s">
        <v>204</v>
      </c>
      <c r="F91" s="376" t="str">
        <f>IF(COUNTIFS('Section A Beam Slab'!$S$6:$S$75,78,'Section A Beam Slab'!$T$6:$T$75,"MB",'Section A Beam Slab'!$F$6:$F$75,"&lt;&gt;")=0,"",SUMIFS('Section A Beam Slab'!$F$6:$F$75,'Section A Beam Slab'!$S$6:$S$75,78,'Section A Beam Slab'!$T$6:$T$75,"MB"))</f>
        <v/>
      </c>
      <c r="G91" s="376" t="str">
        <f>IF(COUNTIFS('Section A Beam Slab'!$S$6:$S$75,78,'Section A Beam Slab'!$T$6:$T$75,"MB",'Section A Beam Slab'!$G$6:$G$75,"&lt;&gt;")=0,"",SUMIFS('Section A Beam Slab'!$G$6:$G$75,'Section A Beam Slab'!$S$6:$S$75,78,'Section A Beam Slab'!$T$6:$T$75,"MB"))</f>
        <v/>
      </c>
      <c r="H91" s="377" t="str">
        <f>IFERROR(SUBSTITUTE(SUBSTITUTE(INDEX('Section A Beam Slab'!$H$6:$H$75,MATCH(1,INDEX(('Section A Beam Slab'!$S$6:$S$75=78)*('Section A Beam Slab'!$T$6:$T$75="MB"),0),0)),"NOT OKAY","NOT OK"),"OKAY","OK"),"")</f>
        <v/>
      </c>
      <c r="I91" s="15"/>
      <c r="J91" s="15"/>
      <c r="K91" s="15"/>
      <c r="L91" s="15"/>
      <c r="M91" s="15"/>
      <c r="N91" s="15"/>
      <c r="O91" s="15"/>
      <c r="P91" s="15"/>
      <c r="Q91" s="15"/>
      <c r="R91" s="15"/>
      <c r="S91" s="15"/>
      <c r="T91" s="15"/>
      <c r="U91" s="15"/>
      <c r="V91" s="15"/>
      <c r="W91" s="15"/>
      <c r="X91" s="15"/>
      <c r="Y91" s="15"/>
      <c r="Z91" s="15"/>
      <c r="AA91" s="15"/>
      <c r="AB91" s="15"/>
      <c r="AC91" s="15"/>
      <c r="AD91" s="15"/>
    </row>
    <row r="92" spans="1:30" ht="30" customHeight="1">
      <c r="A92" s="198" t="s">
        <v>879</v>
      </c>
      <c r="B92" s="107"/>
      <c r="C92" s="108"/>
      <c r="D92" s="108"/>
      <c r="E92" s="199" t="s">
        <v>204</v>
      </c>
      <c r="F92" s="376" t="str">
        <f>IF(COUNTIFS('Section A Beam Slab'!$S$6:$S$75,79,'Section A Beam Slab'!$T$6:$T$75,"MB",'Section A Beam Slab'!$F$6:$F$75,"&lt;&gt;")=0,"",SUMIFS('Section A Beam Slab'!$F$6:$F$75,'Section A Beam Slab'!$S$6:$S$75,79,'Section A Beam Slab'!$T$6:$T$75,"MB"))</f>
        <v/>
      </c>
      <c r="G92" s="376" t="str">
        <f>IF(COUNTIFS('Section A Beam Slab'!$S$6:$S$75,79,'Section A Beam Slab'!$T$6:$T$75,"MB",'Section A Beam Slab'!$G$6:$G$75,"&lt;&gt;")=0,"",SUMIFS('Section A Beam Slab'!$G$6:$G$75,'Section A Beam Slab'!$S$6:$S$75,79,'Section A Beam Slab'!$T$6:$T$75,"MB"))</f>
        <v/>
      </c>
      <c r="H92" s="377" t="str">
        <f>IFERROR(SUBSTITUTE(SUBSTITUTE(INDEX('Section A Beam Slab'!$H$6:$H$75,MATCH(1,INDEX(('Section A Beam Slab'!$S$6:$S$75=79)*('Section A Beam Slab'!$T$6:$T$75="MB"),0),0)),"NOT OKAY","NOT OK"),"OKAY","OK"),"")</f>
        <v/>
      </c>
      <c r="I92" s="15"/>
      <c r="J92" s="15"/>
      <c r="K92" s="15"/>
      <c r="L92" s="15"/>
      <c r="M92" s="15"/>
      <c r="N92" s="15"/>
      <c r="O92" s="15"/>
      <c r="P92" s="15"/>
      <c r="Q92" s="15"/>
      <c r="R92" s="15"/>
      <c r="S92" s="15"/>
      <c r="T92" s="15"/>
      <c r="U92" s="15"/>
      <c r="V92" s="15"/>
      <c r="W92" s="15"/>
      <c r="X92" s="15"/>
      <c r="Y92" s="15"/>
      <c r="Z92" s="15"/>
      <c r="AA92" s="15"/>
      <c r="AB92" s="15"/>
      <c r="AC92" s="15"/>
      <c r="AD92" s="15"/>
    </row>
    <row r="93" spans="1:30" ht="30" customHeight="1">
      <c r="A93" s="198" t="s">
        <v>880</v>
      </c>
      <c r="B93" s="107"/>
      <c r="C93" s="108"/>
      <c r="D93" s="108"/>
      <c r="E93" s="199" t="s">
        <v>204</v>
      </c>
      <c r="F93" s="376" t="str">
        <f>IF(COUNTIFS('Section A Beam Slab'!$S$6:$S$75,80,'Section A Beam Slab'!$T$6:$T$75,"MB",'Section A Beam Slab'!$F$6:$F$75,"&lt;&gt;")=0,"",SUMIFS('Section A Beam Slab'!$F$6:$F$75,'Section A Beam Slab'!$S$6:$S$75,80,'Section A Beam Slab'!$T$6:$T$75,"MB"))</f>
        <v/>
      </c>
      <c r="G93" s="376" t="str">
        <f>IF(COUNTIFS('Section A Beam Slab'!$S$6:$S$75,80,'Section A Beam Slab'!$T$6:$T$75,"MB",'Section A Beam Slab'!$G$6:$G$75,"&lt;&gt;")=0,"",SUMIFS('Section A Beam Slab'!$G$6:$G$75,'Section A Beam Slab'!$S$6:$S$75,80,'Section A Beam Slab'!$T$6:$T$75,"MB"))</f>
        <v/>
      </c>
      <c r="H93" s="377" t="str">
        <f>IFERROR(SUBSTITUTE(SUBSTITUTE(INDEX('Section A Beam Slab'!$H$6:$H$75,MATCH(1,INDEX(('Section A Beam Slab'!$S$6:$S$75=80)*('Section A Beam Slab'!$T$6:$T$75="MB"),0),0)),"NOT OKAY","NOT OK"),"OKAY","OK"),"")</f>
        <v/>
      </c>
      <c r="I93" s="15"/>
      <c r="J93" s="15"/>
      <c r="K93" s="15"/>
      <c r="L93" s="15"/>
      <c r="M93" s="15"/>
      <c r="N93" s="15"/>
      <c r="O93" s="15"/>
      <c r="P93" s="15"/>
      <c r="Q93" s="15"/>
      <c r="R93" s="15"/>
      <c r="S93" s="15"/>
      <c r="T93" s="15"/>
      <c r="U93" s="15"/>
      <c r="V93" s="15"/>
      <c r="W93" s="15"/>
      <c r="X93" s="15"/>
      <c r="Y93" s="15"/>
      <c r="Z93" s="15"/>
      <c r="AA93" s="15"/>
      <c r="AB93" s="15"/>
      <c r="AC93" s="15"/>
      <c r="AD93" s="15"/>
    </row>
    <row r="94" spans="1:30" ht="22.9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row>
    <row r="95" spans="1:30" ht="22.9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row>
    <row r="96" spans="1:30" ht="27" customHeight="1">
      <c r="A96" s="393" t="s">
        <v>1125</v>
      </c>
      <c r="B96" s="393"/>
      <c r="C96" s="393"/>
      <c r="D96" s="393"/>
      <c r="E96" s="393"/>
      <c r="F96" s="393"/>
      <c r="G96" s="393"/>
      <c r="H96" s="393"/>
      <c r="I96" s="393"/>
      <c r="J96" s="393"/>
      <c r="K96" s="393"/>
      <c r="L96" s="393"/>
      <c r="M96" s="393"/>
      <c r="N96" s="393"/>
      <c r="O96" s="393"/>
      <c r="P96" s="393"/>
      <c r="Q96" s="15"/>
      <c r="R96" s="15"/>
      <c r="S96" s="15"/>
      <c r="T96" s="15"/>
      <c r="U96" s="15"/>
      <c r="V96" s="15"/>
      <c r="W96" s="15"/>
      <c r="X96" s="15"/>
      <c r="Y96" s="15"/>
      <c r="Z96" s="15"/>
      <c r="AA96" s="15"/>
      <c r="AB96" s="15"/>
      <c r="AC96" s="15"/>
      <c r="AD96" s="15"/>
    </row>
    <row r="97" spans="1:30" ht="28.95" customHeight="1">
      <c r="A97" s="405" t="s">
        <v>1126</v>
      </c>
      <c r="B97" s="405"/>
      <c r="C97" s="405"/>
      <c r="D97" s="405"/>
      <c r="E97" s="405"/>
      <c r="F97" s="405"/>
      <c r="G97" s="405"/>
      <c r="H97" s="405"/>
      <c r="I97" s="405"/>
      <c r="J97" s="405"/>
      <c r="K97" s="405"/>
      <c r="L97" s="405"/>
      <c r="M97" s="405"/>
      <c r="N97" s="405"/>
      <c r="O97" s="405"/>
      <c r="P97" s="405"/>
      <c r="Q97" s="15"/>
      <c r="R97" s="15"/>
      <c r="S97" s="15"/>
      <c r="T97" s="15"/>
      <c r="U97" s="15"/>
      <c r="V97" s="15"/>
      <c r="W97" s="15"/>
      <c r="X97" s="15"/>
      <c r="Y97" s="15"/>
      <c r="Z97" s="15"/>
      <c r="AA97" s="15"/>
      <c r="AB97" s="15"/>
      <c r="AC97" s="15"/>
      <c r="AD97" s="15"/>
    </row>
    <row r="98" spans="1:30" ht="43.95" customHeight="1">
      <c r="A98" s="105" t="s">
        <v>892</v>
      </c>
      <c r="B98" s="105" t="s">
        <v>912</v>
      </c>
      <c r="C98" s="105" t="s">
        <v>893</v>
      </c>
      <c r="D98" s="105" t="s">
        <v>913</v>
      </c>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row>
    <row r="99" spans="1:30" ht="22.95" customHeight="1">
      <c r="A99" s="106"/>
      <c r="B99" s="107"/>
      <c r="C99" s="108"/>
      <c r="D99" s="108"/>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row>
    <row r="100" spans="1:30" ht="22.95" customHeight="1">
      <c r="A100" s="106"/>
      <c r="B100" s="107"/>
      <c r="C100" s="108"/>
      <c r="D100" s="108"/>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row>
    <row r="101" spans="1:30" ht="22.95" customHeight="1">
      <c r="A101" s="106"/>
      <c r="B101" s="107"/>
      <c r="C101" s="108"/>
      <c r="D101" s="108"/>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row>
    <row r="102" spans="1:30" ht="22.95" customHeight="1">
      <c r="A102" s="106"/>
      <c r="B102" s="107"/>
      <c r="C102" s="108"/>
      <c r="D102" s="108"/>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row>
    <row r="103" spans="1:30" ht="22.95" customHeight="1">
      <c r="A103" s="106"/>
      <c r="B103" s="107"/>
      <c r="C103" s="108"/>
      <c r="D103" s="108"/>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row>
    <row r="104" spans="1:30" ht="22.95" customHeight="1">
      <c r="A104" s="106"/>
      <c r="B104" s="107"/>
      <c r="C104" s="108"/>
      <c r="D104" s="108"/>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row>
    <row r="105" spans="1:30" ht="22.95" customHeight="1">
      <c r="A105" s="106"/>
      <c r="B105" s="107"/>
      <c r="C105" s="108"/>
      <c r="D105" s="108"/>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row>
    <row r="106" spans="1:30" ht="22.95" customHeight="1">
      <c r="A106" s="106"/>
      <c r="B106" s="107"/>
      <c r="C106" s="108"/>
      <c r="D106" s="108"/>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row>
    <row r="107" spans="1:30" ht="22.95" customHeight="1">
      <c r="A107" s="106"/>
      <c r="B107" s="107"/>
      <c r="C107" s="108"/>
      <c r="D107" s="108"/>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row>
    <row r="108" spans="1:30" ht="22.95" customHeight="1">
      <c r="A108" s="106"/>
      <c r="B108" s="107"/>
      <c r="C108" s="108"/>
      <c r="D108" s="108"/>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row>
    <row r="109" spans="1:30" ht="22.95" customHeight="1">
      <c r="A109" s="106"/>
      <c r="B109" s="107"/>
      <c r="C109" s="108"/>
      <c r="D109" s="108"/>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row>
    <row r="110" spans="1:30" ht="22.95" customHeight="1">
      <c r="A110" s="106"/>
      <c r="B110" s="107"/>
      <c r="C110" s="108"/>
      <c r="D110" s="108"/>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row>
    <row r="111" spans="1:30" ht="22.95" customHeight="1">
      <c r="A111" s="106"/>
      <c r="B111" s="107"/>
      <c r="C111" s="108"/>
      <c r="D111" s="108"/>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row>
    <row r="112" spans="1:30" ht="22.95" customHeight="1">
      <c r="A112" s="106"/>
      <c r="B112" s="107"/>
      <c r="C112" s="108"/>
      <c r="D112" s="108"/>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row>
    <row r="113" spans="1:30" ht="22.95" customHeight="1">
      <c r="A113" s="106"/>
      <c r="B113" s="107"/>
      <c r="C113" s="108"/>
      <c r="D113" s="108"/>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row>
    <row r="114" spans="1:30" ht="22.95" customHeight="1">
      <c r="A114" s="106"/>
      <c r="B114" s="107"/>
      <c r="C114" s="108"/>
      <c r="D114" s="108"/>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row>
    <row r="115" spans="1:30" ht="22.95" customHeight="1">
      <c r="A115" s="106"/>
      <c r="B115" s="107"/>
      <c r="C115" s="108"/>
      <c r="D115" s="108"/>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row>
    <row r="116" spans="1:30" ht="22.95" customHeight="1">
      <c r="A116" s="106"/>
      <c r="B116" s="107"/>
      <c r="C116" s="108"/>
      <c r="D116" s="108"/>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row>
    <row r="117" spans="1:30" ht="22.95" customHeight="1">
      <c r="A117" s="106"/>
      <c r="B117" s="107"/>
      <c r="C117" s="108"/>
      <c r="D117" s="108"/>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row>
    <row r="118" spans="1:30" ht="22.95" customHeight="1">
      <c r="A118" s="106"/>
      <c r="B118" s="107"/>
      <c r="C118" s="108"/>
      <c r="D118" s="108"/>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row>
    <row r="119" spans="1:30" ht="22.9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row>
    <row r="120" spans="1:30" ht="22.9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row>
    <row r="121" spans="1:30" ht="27" customHeight="1">
      <c r="A121" s="393" t="s">
        <v>1162</v>
      </c>
      <c r="B121" s="393"/>
      <c r="C121" s="393"/>
      <c r="D121" s="393"/>
      <c r="E121" s="393"/>
      <c r="F121" s="393"/>
      <c r="G121" s="393"/>
      <c r="H121" s="393"/>
      <c r="I121" s="393"/>
      <c r="J121" s="393"/>
      <c r="K121" s="393"/>
      <c r="L121" s="393"/>
      <c r="M121" s="393"/>
      <c r="N121" s="393"/>
      <c r="O121" s="393"/>
      <c r="P121" s="393"/>
      <c r="Q121" s="15"/>
      <c r="R121" s="393" t="s">
        <v>1151</v>
      </c>
      <c r="S121" s="393"/>
      <c r="T121" s="393"/>
      <c r="U121" s="393"/>
      <c r="V121" s="393"/>
      <c r="W121" s="393"/>
      <c r="X121" s="393"/>
      <c r="Y121" s="393"/>
      <c r="Z121" s="393"/>
      <c r="AA121" s="393"/>
      <c r="AB121" s="393"/>
      <c r="AC121" s="393"/>
      <c r="AD121" s="393"/>
    </row>
    <row r="122" spans="1:30" ht="28.95" customHeight="1">
      <c r="A122" s="405" t="s">
        <v>1163</v>
      </c>
      <c r="B122" s="405"/>
      <c r="C122" s="405"/>
      <c r="D122" s="405"/>
      <c r="E122" s="405"/>
      <c r="F122" s="405"/>
      <c r="G122" s="405"/>
      <c r="H122" s="405"/>
      <c r="I122" s="405"/>
      <c r="J122" s="405"/>
      <c r="K122" s="405"/>
      <c r="L122" s="405"/>
      <c r="M122" s="405"/>
      <c r="N122" s="405"/>
      <c r="O122" s="405"/>
      <c r="P122" s="405"/>
      <c r="Q122" s="15"/>
      <c r="R122" s="15"/>
      <c r="S122" s="15"/>
      <c r="T122" s="15"/>
      <c r="U122" s="15"/>
      <c r="V122" s="15"/>
      <c r="W122" s="15"/>
      <c r="X122" s="15"/>
      <c r="Y122" s="15"/>
      <c r="Z122" s="15"/>
      <c r="AA122" s="15"/>
      <c r="AB122" s="15"/>
      <c r="AC122" s="15"/>
      <c r="AD122" s="15"/>
    </row>
    <row r="123" spans="1:30" ht="55.05" customHeight="1">
      <c r="A123" s="346" t="s">
        <v>101</v>
      </c>
      <c r="B123" s="346" t="s">
        <v>1127</v>
      </c>
      <c r="C123" s="346" t="s">
        <v>103</v>
      </c>
      <c r="D123" s="346" t="s">
        <v>1080</v>
      </c>
      <c r="E123" s="346" t="s">
        <v>719</v>
      </c>
      <c r="F123" s="346" t="s">
        <v>1167</v>
      </c>
      <c r="G123" s="346" t="s">
        <v>1164</v>
      </c>
      <c r="H123" s="346" t="s">
        <v>1165</v>
      </c>
      <c r="I123" s="346" t="s">
        <v>1166</v>
      </c>
      <c r="J123" s="346" t="s">
        <v>1128</v>
      </c>
      <c r="K123" s="346" t="s">
        <v>1129</v>
      </c>
      <c r="L123" s="346" t="s">
        <v>1130</v>
      </c>
      <c r="M123" s="346" t="s">
        <v>1131</v>
      </c>
      <c r="N123" s="375" t="s">
        <v>1154</v>
      </c>
      <c r="O123" s="375" t="s">
        <v>105</v>
      </c>
      <c r="P123" s="375" t="s">
        <v>1155</v>
      </c>
      <c r="Q123" s="15"/>
      <c r="R123" s="15"/>
      <c r="S123" s="15"/>
      <c r="T123" s="15"/>
      <c r="U123" s="15"/>
      <c r="V123" s="15"/>
      <c r="W123" s="15"/>
      <c r="X123" s="15"/>
      <c r="Y123" s="15"/>
      <c r="Z123" s="15"/>
      <c r="AA123" s="15"/>
      <c r="AB123" s="15"/>
      <c r="AC123" s="15"/>
      <c r="AD123" s="15"/>
    </row>
    <row r="124" spans="1:30" ht="30" customHeight="1">
      <c r="A124" s="370" t="s">
        <v>112</v>
      </c>
      <c r="B124" s="371" t="s">
        <v>113</v>
      </c>
      <c r="C124" s="372"/>
      <c r="D124" s="373"/>
      <c r="E124" s="371" t="s">
        <v>203</v>
      </c>
      <c r="F124" s="373"/>
      <c r="G124" s="372"/>
      <c r="H124" s="372"/>
      <c r="I124" s="372"/>
      <c r="J124" s="372"/>
      <c r="K124" s="372"/>
      <c r="L124" s="372"/>
      <c r="M124" s="372"/>
      <c r="N124" s="376" t="str">
        <f>IF(COUNTIFS('Section A Beam Slab'!$S$6:$S$75,6,'Section A Beam Slab'!$T$6:$T$75,"MANUAL",'Section A Beam Slab'!$F$6:$F$75,"&lt;&gt;")=0,"",SUMIFS('Section A Beam Slab'!$F$6:$F$75,'Section A Beam Slab'!$S$6:$S$75,6,'Section A Beam Slab'!$T$6:$T$75,"MANUAL"))</f>
        <v/>
      </c>
      <c r="O124" s="376" t="str">
        <f>IF(COUNTIFS('Section A Beam Slab'!$S$6:$S$75,6,'Section A Beam Slab'!$T$6:$T$75,"MANUAL",'Section A Beam Slab'!$G$6:$G$75,"&lt;&gt;")=0,"",SUMIFS('Section A Beam Slab'!$G$6:$G$75,'Section A Beam Slab'!$S$6:$S$75,6,'Section A Beam Slab'!$T$6:$T$75,"MANUAL"))</f>
        <v/>
      </c>
      <c r="P124" s="377" t="str">
        <f>IFERROR(SUBSTITUTE(SUBSTITUTE(INDEX('Section A Beam Slab'!$H$6:$H$75,MATCH(1,INDEX(('Section A Beam Slab'!$S$6:$S$75=6)*('Section A Beam Slab'!$T$6:$T$75="MANUAL"),0),0)),"NOT OKAY","NOT OK"),"OKAY","OK"),"")</f>
        <v/>
      </c>
      <c r="Q124" s="15"/>
      <c r="R124" s="15"/>
      <c r="S124" s="15"/>
      <c r="T124" s="15"/>
      <c r="U124" s="15"/>
      <c r="V124" s="15"/>
      <c r="W124" s="15"/>
      <c r="X124" s="15"/>
      <c r="Y124" s="15"/>
      <c r="Z124" s="15"/>
      <c r="AA124" s="15"/>
      <c r="AB124" s="15"/>
      <c r="AC124" s="15"/>
      <c r="AD124" s="15"/>
    </row>
    <row r="125" spans="1:30" ht="30" customHeight="1">
      <c r="A125" s="370" t="s">
        <v>114</v>
      </c>
      <c r="B125" s="371" t="s">
        <v>115</v>
      </c>
      <c r="C125" s="372"/>
      <c r="D125" s="373"/>
      <c r="E125" s="371" t="s">
        <v>203</v>
      </c>
      <c r="F125" s="373"/>
      <c r="G125" s="372"/>
      <c r="H125" s="372"/>
      <c r="I125" s="372"/>
      <c r="J125" s="372"/>
      <c r="K125" s="372"/>
      <c r="L125" s="372"/>
      <c r="M125" s="372"/>
      <c r="N125" s="376" t="str">
        <f>IF(COUNTIFS('Section A Beam Slab'!$S$6:$S$75,7,'Section A Beam Slab'!$T$6:$T$75,"MANUAL",'Section A Beam Slab'!$F$6:$F$75,"&lt;&gt;")=0,"",SUMIFS('Section A Beam Slab'!$F$6:$F$75,'Section A Beam Slab'!$S$6:$S$75,7,'Section A Beam Slab'!$T$6:$T$75,"MANUAL"))</f>
        <v/>
      </c>
      <c r="O125" s="376" t="str">
        <f>IF(COUNTIFS('Section A Beam Slab'!$S$6:$S$75,7,'Section A Beam Slab'!$T$6:$T$75,"MANUAL",'Section A Beam Slab'!$G$6:$G$75,"&lt;&gt;")=0,"",SUMIFS('Section A Beam Slab'!$G$6:$G$75,'Section A Beam Slab'!$S$6:$S$75,7,'Section A Beam Slab'!$T$6:$T$75,"MANUAL"))</f>
        <v/>
      </c>
      <c r="P125" s="377" t="str">
        <f>IFERROR(SUBSTITUTE(SUBSTITUTE(INDEX('Section A Beam Slab'!$H$6:$H$75,MATCH(1,INDEX(('Section A Beam Slab'!$S$6:$S$75=7)*('Section A Beam Slab'!$T$6:$T$75="MANUAL"),0),0)),"NOT OKAY","NOT OK"),"OKAY","OK"),"")</f>
        <v/>
      </c>
      <c r="Q125" s="15"/>
      <c r="R125" s="15"/>
      <c r="S125" s="15"/>
      <c r="T125" s="15"/>
      <c r="U125" s="15"/>
      <c r="V125" s="15"/>
      <c r="W125" s="15"/>
      <c r="X125" s="15"/>
      <c r="Y125" s="15"/>
      <c r="Z125" s="15"/>
      <c r="AA125" s="15"/>
      <c r="AB125" s="15"/>
      <c r="AC125" s="15"/>
      <c r="AD125" s="15"/>
    </row>
    <row r="126" spans="1:30" ht="30" customHeight="1">
      <c r="A126" s="370"/>
      <c r="B126" s="371"/>
      <c r="C126" s="372"/>
      <c r="D126" s="373"/>
      <c r="E126" s="371"/>
      <c r="F126" s="373"/>
      <c r="G126" s="372"/>
      <c r="H126" s="372"/>
      <c r="I126" s="372"/>
      <c r="J126" s="372"/>
      <c r="K126" s="372"/>
      <c r="L126" s="372"/>
      <c r="M126" s="372"/>
      <c r="N126" s="376" t="str">
        <f>IF(COUNTIFS('Section A Beam Slab'!$S$6:$S$75,8,'Section A Beam Slab'!$T$6:$T$75,"MANUAL",'Section A Beam Slab'!$F$6:$F$75,"&lt;&gt;")=0,"",SUMIFS('Section A Beam Slab'!$F$6:$F$75,'Section A Beam Slab'!$S$6:$S$75,8,'Section A Beam Slab'!$T$6:$T$75,"MANUAL"))</f>
        <v/>
      </c>
      <c r="O126" s="376" t="str">
        <f>IF(COUNTIFS('Section A Beam Slab'!$S$6:$S$75,8,'Section A Beam Slab'!$T$6:$T$75,"MANUAL",'Section A Beam Slab'!$G$6:$G$75,"&lt;&gt;")=0,"",SUMIFS('Section A Beam Slab'!$G$6:$G$75,'Section A Beam Slab'!$S$6:$S$75,8,'Section A Beam Slab'!$T$6:$T$75,"MANUAL"))</f>
        <v/>
      </c>
      <c r="P126" s="377" t="str">
        <f>IFERROR(SUBSTITUTE(SUBSTITUTE(INDEX('Section A Beam Slab'!$H$6:$H$75,MATCH(1,INDEX(('Section A Beam Slab'!$S$6:$S$75=8)*('Section A Beam Slab'!$T$6:$T$75="MANUAL"),0),0)),"NOT OKAY","NOT OK"),"OKAY","OK"),"")</f>
        <v/>
      </c>
      <c r="Q126" s="15"/>
      <c r="R126" s="15"/>
      <c r="S126" s="15"/>
      <c r="T126" s="15"/>
      <c r="U126" s="15"/>
      <c r="V126" s="15"/>
      <c r="W126" s="15"/>
      <c r="X126" s="15"/>
      <c r="Y126" s="15"/>
      <c r="Z126" s="15"/>
      <c r="AA126" s="15"/>
      <c r="AB126" s="15"/>
      <c r="AC126" s="15"/>
      <c r="AD126" s="15"/>
    </row>
    <row r="127" spans="1:30" ht="30" customHeight="1">
      <c r="A127" s="370"/>
      <c r="B127" s="371"/>
      <c r="C127" s="372"/>
      <c r="D127" s="373"/>
      <c r="E127" s="371"/>
      <c r="F127" s="373"/>
      <c r="G127" s="372"/>
      <c r="H127" s="372"/>
      <c r="I127" s="372"/>
      <c r="J127" s="372"/>
      <c r="K127" s="372"/>
      <c r="L127" s="372"/>
      <c r="M127" s="372"/>
      <c r="N127" s="376" t="str">
        <f>IF(COUNTIFS('Section A Beam Slab'!$S$6:$S$75,9,'Section A Beam Slab'!$T$6:$T$75,"MANUAL",'Section A Beam Slab'!$F$6:$F$75,"&lt;&gt;")=0,"",SUMIFS('Section A Beam Slab'!$F$6:$F$75,'Section A Beam Slab'!$S$6:$S$75,9,'Section A Beam Slab'!$T$6:$T$75,"MANUAL"))</f>
        <v/>
      </c>
      <c r="O127" s="376" t="str">
        <f>IF(COUNTIFS('Section A Beam Slab'!$S$6:$S$75,9,'Section A Beam Slab'!$T$6:$T$75,"MANUAL",'Section A Beam Slab'!$G$6:$G$75,"&lt;&gt;")=0,"",SUMIFS('Section A Beam Slab'!$G$6:$G$75,'Section A Beam Slab'!$S$6:$S$75,9,'Section A Beam Slab'!$T$6:$T$75,"MANUAL"))</f>
        <v/>
      </c>
      <c r="P127" s="377" t="str">
        <f>IFERROR(SUBSTITUTE(SUBSTITUTE(INDEX('Section A Beam Slab'!$H$6:$H$75,MATCH(1,INDEX(('Section A Beam Slab'!$S$6:$S$75=9)*('Section A Beam Slab'!$T$6:$T$75="MANUAL"),0),0)),"NOT OKAY","NOT OK"),"OKAY","OK"),"")</f>
        <v/>
      </c>
      <c r="Q127" s="15"/>
      <c r="R127" s="15"/>
      <c r="S127" s="15"/>
      <c r="T127" s="15"/>
      <c r="U127" s="15"/>
      <c r="V127" s="15"/>
      <c r="W127" s="15"/>
      <c r="X127" s="15"/>
      <c r="Y127" s="15"/>
      <c r="Z127" s="15"/>
      <c r="AA127" s="15"/>
      <c r="AB127" s="15"/>
      <c r="AC127" s="15"/>
      <c r="AD127" s="15"/>
    </row>
    <row r="128" spans="1:30" ht="30" customHeight="1">
      <c r="A128" s="370"/>
      <c r="B128" s="371"/>
      <c r="C128" s="372"/>
      <c r="D128" s="373"/>
      <c r="E128" s="371"/>
      <c r="F128" s="373"/>
      <c r="G128" s="372"/>
      <c r="H128" s="372"/>
      <c r="I128" s="372"/>
      <c r="J128" s="372"/>
      <c r="K128" s="372"/>
      <c r="L128" s="372"/>
      <c r="M128" s="372"/>
      <c r="N128" s="376" t="str">
        <f>IF(COUNTIFS('Section A Beam Slab'!$S$6:$S$75,10,'Section A Beam Slab'!$T$6:$T$75,"MANUAL",'Section A Beam Slab'!$F$6:$F$75,"&lt;&gt;")=0,"",SUMIFS('Section A Beam Slab'!$F$6:$F$75,'Section A Beam Slab'!$S$6:$S$75,10,'Section A Beam Slab'!$T$6:$T$75,"MANUAL"))</f>
        <v/>
      </c>
      <c r="O128" s="376" t="str">
        <f>IF(COUNTIFS('Section A Beam Slab'!$S$6:$S$75,10,'Section A Beam Slab'!$T$6:$T$75,"MANUAL",'Section A Beam Slab'!$G$6:$G$75,"&lt;&gt;")=0,"",SUMIFS('Section A Beam Slab'!$G$6:$G$75,'Section A Beam Slab'!$S$6:$S$75,10,'Section A Beam Slab'!$T$6:$T$75,"MANUAL"))</f>
        <v/>
      </c>
      <c r="P128" s="377" t="str">
        <f>IFERROR(SUBSTITUTE(SUBSTITUTE(INDEX('Section A Beam Slab'!$H$6:$H$75,MATCH(1,INDEX(('Section A Beam Slab'!$S$6:$S$75=10)*('Section A Beam Slab'!$T$6:$T$75="MANUAL"),0),0)),"NOT OKAY","NOT OK"),"OKAY","OK"),"")</f>
        <v/>
      </c>
      <c r="Q128" s="15"/>
      <c r="R128" s="15"/>
      <c r="S128" s="15"/>
      <c r="T128" s="15"/>
      <c r="U128" s="15"/>
      <c r="V128" s="15"/>
      <c r="W128" s="15"/>
      <c r="X128" s="15"/>
      <c r="Y128" s="15"/>
      <c r="Z128" s="15"/>
      <c r="AA128" s="15"/>
      <c r="AB128" s="15"/>
      <c r="AC128" s="15"/>
      <c r="AD128" s="15"/>
    </row>
    <row r="129" spans="1:30" ht="30" customHeight="1">
      <c r="A129" s="370"/>
      <c r="B129" s="371"/>
      <c r="C129" s="372"/>
      <c r="D129" s="373"/>
      <c r="E129" s="371"/>
      <c r="F129" s="373"/>
      <c r="G129" s="372"/>
      <c r="H129" s="372"/>
      <c r="I129" s="372"/>
      <c r="J129" s="372"/>
      <c r="K129" s="372"/>
      <c r="L129" s="372"/>
      <c r="M129" s="372"/>
      <c r="N129" s="376" t="str">
        <f>IF(COUNTIFS('Section A Beam Slab'!$S$6:$S$75,11,'Section A Beam Slab'!$T$6:$T$75,"MANUAL",'Section A Beam Slab'!$F$6:$F$75,"&lt;&gt;")=0,"",SUMIFS('Section A Beam Slab'!$F$6:$F$75,'Section A Beam Slab'!$S$6:$S$75,11,'Section A Beam Slab'!$T$6:$T$75,"MANUAL"))</f>
        <v/>
      </c>
      <c r="O129" s="376" t="str">
        <f>IF(COUNTIFS('Section A Beam Slab'!$S$6:$S$75,11,'Section A Beam Slab'!$T$6:$T$75,"MANUAL",'Section A Beam Slab'!$G$6:$G$75,"&lt;&gt;")=0,"",SUMIFS('Section A Beam Slab'!$G$6:$G$75,'Section A Beam Slab'!$S$6:$S$75,11,'Section A Beam Slab'!$T$6:$T$75,"MANUAL"))</f>
        <v/>
      </c>
      <c r="P129" s="377" t="str">
        <f>IFERROR(SUBSTITUTE(SUBSTITUTE(INDEX('Section A Beam Slab'!$H$6:$H$75,MATCH(1,INDEX(('Section A Beam Slab'!$S$6:$S$75=11)*('Section A Beam Slab'!$T$6:$T$75="MANUAL"),0),0)),"NOT OKAY","NOT OK"),"OKAY","OK"),"")</f>
        <v/>
      </c>
      <c r="Q129" s="15"/>
      <c r="R129" s="15"/>
      <c r="S129" s="15"/>
      <c r="T129" s="15"/>
      <c r="U129" s="15"/>
      <c r="V129" s="15"/>
      <c r="W129" s="15"/>
      <c r="X129" s="15"/>
      <c r="Y129" s="15"/>
      <c r="Z129" s="15"/>
      <c r="AA129" s="15"/>
      <c r="AB129" s="15"/>
      <c r="AC129" s="15"/>
      <c r="AD129" s="15"/>
    </row>
    <row r="130" spans="1:30" ht="30" customHeight="1">
      <c r="A130" s="370"/>
      <c r="B130" s="371"/>
      <c r="C130" s="372"/>
      <c r="D130" s="373"/>
      <c r="E130" s="371"/>
      <c r="F130" s="373"/>
      <c r="G130" s="372"/>
      <c r="H130" s="372"/>
      <c r="I130" s="372"/>
      <c r="J130" s="372"/>
      <c r="K130" s="372"/>
      <c r="L130" s="372"/>
      <c r="M130" s="372"/>
      <c r="N130" s="376" t="str">
        <f>IF(COUNTIFS('Section A Beam Slab'!$S$6:$S$75,12,'Section A Beam Slab'!$T$6:$T$75,"MANUAL",'Section A Beam Slab'!$F$6:$F$75,"&lt;&gt;")=0,"",SUMIFS('Section A Beam Slab'!$F$6:$F$75,'Section A Beam Slab'!$S$6:$S$75,12,'Section A Beam Slab'!$T$6:$T$75,"MANUAL"))</f>
        <v/>
      </c>
      <c r="O130" s="376" t="str">
        <f>IF(COUNTIFS('Section A Beam Slab'!$S$6:$S$75,12,'Section A Beam Slab'!$T$6:$T$75,"MANUAL",'Section A Beam Slab'!$G$6:$G$75,"&lt;&gt;")=0,"",SUMIFS('Section A Beam Slab'!$G$6:$G$75,'Section A Beam Slab'!$S$6:$S$75,12,'Section A Beam Slab'!$T$6:$T$75,"MANUAL"))</f>
        <v/>
      </c>
      <c r="P130" s="377" t="str">
        <f>IFERROR(SUBSTITUTE(SUBSTITUTE(INDEX('Section A Beam Slab'!$H$6:$H$75,MATCH(1,INDEX(('Section A Beam Slab'!$S$6:$S$75=12)*('Section A Beam Slab'!$T$6:$T$75="MANUAL"),0),0)),"NOT OKAY","NOT OK"),"OKAY","OK"),"")</f>
        <v/>
      </c>
      <c r="Q130" s="15"/>
      <c r="R130" s="15"/>
      <c r="S130" s="15"/>
      <c r="T130" s="15"/>
      <c r="U130" s="15"/>
      <c r="V130" s="15"/>
      <c r="W130" s="15"/>
      <c r="X130" s="15"/>
      <c r="Y130" s="15"/>
      <c r="Z130" s="15"/>
      <c r="AA130" s="15"/>
      <c r="AB130" s="15"/>
      <c r="AC130" s="15"/>
      <c r="AD130" s="15"/>
    </row>
    <row r="131" spans="1:30" ht="30" customHeight="1">
      <c r="A131" s="370"/>
      <c r="B131" s="371"/>
      <c r="C131" s="372"/>
      <c r="D131" s="373"/>
      <c r="E131" s="371"/>
      <c r="F131" s="373"/>
      <c r="G131" s="372"/>
      <c r="H131" s="372"/>
      <c r="I131" s="372"/>
      <c r="J131" s="372"/>
      <c r="K131" s="372"/>
      <c r="L131" s="372"/>
      <c r="M131" s="372"/>
      <c r="N131" s="376" t="str">
        <f>IF(COUNTIFS('Section A Beam Slab'!$S$6:$S$75,13,'Section A Beam Slab'!$T$6:$T$75,"MANUAL",'Section A Beam Slab'!$F$6:$F$75,"&lt;&gt;")=0,"",SUMIFS('Section A Beam Slab'!$F$6:$F$75,'Section A Beam Slab'!$S$6:$S$75,13,'Section A Beam Slab'!$T$6:$T$75,"MANUAL"))</f>
        <v/>
      </c>
      <c r="O131" s="376" t="str">
        <f>IF(COUNTIFS('Section A Beam Slab'!$S$6:$S$75,13,'Section A Beam Slab'!$T$6:$T$75,"MANUAL",'Section A Beam Slab'!$G$6:$G$75,"&lt;&gt;")=0,"",SUMIFS('Section A Beam Slab'!$G$6:$G$75,'Section A Beam Slab'!$S$6:$S$75,13,'Section A Beam Slab'!$T$6:$T$75,"MANUAL"))</f>
        <v/>
      </c>
      <c r="P131" s="377" t="str">
        <f>IFERROR(SUBSTITUTE(SUBSTITUTE(INDEX('Section A Beam Slab'!$H$6:$H$75,MATCH(1,INDEX(('Section A Beam Slab'!$S$6:$S$75=13)*('Section A Beam Slab'!$T$6:$T$75="MANUAL"),0),0)),"NOT OKAY","NOT OK"),"OKAY","OK"),"")</f>
        <v/>
      </c>
      <c r="Q131" s="15"/>
      <c r="R131" s="15"/>
      <c r="S131" s="15"/>
      <c r="T131" s="15"/>
      <c r="U131" s="15"/>
      <c r="V131" s="15"/>
      <c r="W131" s="15"/>
      <c r="X131" s="15"/>
      <c r="Y131" s="15"/>
      <c r="Z131" s="15"/>
      <c r="AA131" s="15"/>
      <c r="AB131" s="15"/>
      <c r="AC131" s="15"/>
      <c r="AD131" s="15"/>
    </row>
    <row r="132" spans="1:30" ht="30" customHeight="1">
      <c r="A132" s="370"/>
      <c r="B132" s="371"/>
      <c r="C132" s="372"/>
      <c r="D132" s="373"/>
      <c r="E132" s="371"/>
      <c r="F132" s="373"/>
      <c r="G132" s="372"/>
      <c r="H132" s="372"/>
      <c r="I132" s="372"/>
      <c r="J132" s="372"/>
      <c r="K132" s="372"/>
      <c r="L132" s="372"/>
      <c r="M132" s="372"/>
      <c r="N132" s="376" t="str">
        <f>IF(COUNTIFS('Section A Beam Slab'!$S$6:$S$75,14,'Section A Beam Slab'!$T$6:$T$75,"MANUAL",'Section A Beam Slab'!$F$6:$F$75,"&lt;&gt;")=0,"",SUMIFS('Section A Beam Slab'!$F$6:$F$75,'Section A Beam Slab'!$S$6:$S$75,14,'Section A Beam Slab'!$T$6:$T$75,"MANUAL"))</f>
        <v/>
      </c>
      <c r="O132" s="376" t="str">
        <f>IF(COUNTIFS('Section A Beam Slab'!$S$6:$S$75,14,'Section A Beam Slab'!$T$6:$T$75,"MANUAL",'Section A Beam Slab'!$G$6:$G$75,"&lt;&gt;")=0,"",SUMIFS('Section A Beam Slab'!$G$6:$G$75,'Section A Beam Slab'!$S$6:$S$75,14,'Section A Beam Slab'!$T$6:$T$75,"MANUAL"))</f>
        <v/>
      </c>
      <c r="P132" s="377" t="str">
        <f>IFERROR(SUBSTITUTE(SUBSTITUTE(INDEX('Section A Beam Slab'!$H$6:$H$75,MATCH(1,INDEX(('Section A Beam Slab'!$S$6:$S$75=14)*('Section A Beam Slab'!$T$6:$T$75="MANUAL"),0),0)),"NOT OKAY","NOT OK"),"OKAY","OK"),"")</f>
        <v/>
      </c>
      <c r="Q132" s="15"/>
      <c r="R132" s="15"/>
      <c r="S132" s="15"/>
      <c r="T132" s="15"/>
      <c r="U132" s="15"/>
      <c r="V132" s="15"/>
      <c r="W132" s="15"/>
      <c r="X132" s="15"/>
      <c r="Y132" s="15"/>
      <c r="Z132" s="15"/>
      <c r="AA132" s="15"/>
      <c r="AB132" s="15"/>
      <c r="AC132" s="15"/>
      <c r="AD132" s="15"/>
    </row>
    <row r="133" spans="1:30" ht="30" customHeight="1">
      <c r="A133" s="370"/>
      <c r="B133" s="371"/>
      <c r="C133" s="372"/>
      <c r="D133" s="373"/>
      <c r="E133" s="371"/>
      <c r="F133" s="373"/>
      <c r="G133" s="372"/>
      <c r="H133" s="372"/>
      <c r="I133" s="372"/>
      <c r="J133" s="372"/>
      <c r="K133" s="372"/>
      <c r="L133" s="372"/>
      <c r="M133" s="372"/>
      <c r="N133" s="376" t="str">
        <f>IF(COUNTIFS('Section A Beam Slab'!$S$6:$S$75,15,'Section A Beam Slab'!$T$6:$T$75,"MANUAL",'Section A Beam Slab'!$F$6:$F$75,"&lt;&gt;")=0,"",SUMIFS('Section A Beam Slab'!$F$6:$F$75,'Section A Beam Slab'!$S$6:$S$75,15,'Section A Beam Slab'!$T$6:$T$75,"MANUAL"))</f>
        <v/>
      </c>
      <c r="O133" s="376" t="str">
        <f>IF(COUNTIFS('Section A Beam Slab'!$S$6:$S$75,15,'Section A Beam Slab'!$T$6:$T$75,"MANUAL",'Section A Beam Slab'!$G$6:$G$75,"&lt;&gt;")=0,"",SUMIFS('Section A Beam Slab'!$G$6:$G$75,'Section A Beam Slab'!$S$6:$S$75,15,'Section A Beam Slab'!$T$6:$T$75,"MANUAL"))</f>
        <v/>
      </c>
      <c r="P133" s="377" t="str">
        <f>IFERROR(SUBSTITUTE(SUBSTITUTE(INDEX('Section A Beam Slab'!$H$6:$H$75,MATCH(1,INDEX(('Section A Beam Slab'!$S$6:$S$75=15)*('Section A Beam Slab'!$T$6:$T$75="MANUAL"),0),0)),"NOT OKAY","NOT OK"),"OKAY","OK"),"")</f>
        <v/>
      </c>
      <c r="Q133" s="15"/>
      <c r="R133" s="15"/>
      <c r="S133" s="15"/>
      <c r="T133" s="15"/>
      <c r="U133" s="15"/>
      <c r="V133" s="15"/>
      <c r="W133" s="15"/>
      <c r="X133" s="15"/>
      <c r="Y133" s="15"/>
      <c r="Z133" s="15"/>
      <c r="AA133" s="15"/>
      <c r="AB133" s="15"/>
      <c r="AC133" s="15"/>
      <c r="AD133" s="15"/>
    </row>
    <row r="134" spans="1:30" ht="30" customHeight="1">
      <c r="A134" s="370"/>
      <c r="B134" s="371"/>
      <c r="C134" s="372"/>
      <c r="D134" s="373"/>
      <c r="E134" s="371"/>
      <c r="F134" s="373"/>
      <c r="G134" s="372"/>
      <c r="H134" s="372"/>
      <c r="I134" s="372"/>
      <c r="J134" s="372"/>
      <c r="K134" s="372"/>
      <c r="L134" s="372"/>
      <c r="M134" s="372"/>
      <c r="N134" s="376" t="str">
        <f>IF(COUNTIFS('Section A Beam Slab'!$S$6:$S$75,16,'Section A Beam Slab'!$T$6:$T$75,"MANUAL",'Section A Beam Slab'!$F$6:$F$75,"&lt;&gt;")=0,"",SUMIFS('Section A Beam Slab'!$F$6:$F$75,'Section A Beam Slab'!$S$6:$S$75,16,'Section A Beam Slab'!$T$6:$T$75,"MANUAL"))</f>
        <v/>
      </c>
      <c r="O134" s="376" t="str">
        <f>IF(COUNTIFS('Section A Beam Slab'!$S$6:$S$75,16,'Section A Beam Slab'!$T$6:$T$75,"MANUAL",'Section A Beam Slab'!$G$6:$G$75,"&lt;&gt;")=0,"",SUMIFS('Section A Beam Slab'!$G$6:$G$75,'Section A Beam Slab'!$S$6:$S$75,16,'Section A Beam Slab'!$T$6:$T$75,"MANUAL"))</f>
        <v/>
      </c>
      <c r="P134" s="377" t="str">
        <f>IFERROR(SUBSTITUTE(SUBSTITUTE(INDEX('Section A Beam Slab'!$H$6:$H$75,MATCH(1,INDEX(('Section A Beam Slab'!$S$6:$S$75=16)*('Section A Beam Slab'!$T$6:$T$75="MANUAL"),0),0)),"NOT OKAY","NOT OK"),"OKAY","OK"),"")</f>
        <v/>
      </c>
      <c r="Q134" s="15"/>
      <c r="R134" s="15"/>
      <c r="S134" s="15"/>
      <c r="T134" s="15"/>
      <c r="U134" s="15"/>
      <c r="V134" s="15"/>
      <c r="W134" s="15"/>
      <c r="X134" s="15"/>
      <c r="Y134" s="15"/>
      <c r="Z134" s="15"/>
      <c r="AA134" s="15"/>
      <c r="AB134" s="15"/>
      <c r="AC134" s="15"/>
      <c r="AD134" s="15"/>
    </row>
    <row r="135" spans="1:30" ht="30" customHeight="1">
      <c r="A135" s="370"/>
      <c r="B135" s="371"/>
      <c r="C135" s="372"/>
      <c r="D135" s="373"/>
      <c r="E135" s="371"/>
      <c r="F135" s="373"/>
      <c r="G135" s="372"/>
      <c r="H135" s="372"/>
      <c r="I135" s="372"/>
      <c r="J135" s="372"/>
      <c r="K135" s="372"/>
      <c r="L135" s="372"/>
      <c r="M135" s="372"/>
      <c r="N135" s="376" t="str">
        <f>IF(COUNTIFS('Section A Beam Slab'!$S$6:$S$75,17,'Section A Beam Slab'!$T$6:$T$75,"MANUAL",'Section A Beam Slab'!$F$6:$F$75,"&lt;&gt;")=0,"",SUMIFS('Section A Beam Slab'!$F$6:$F$75,'Section A Beam Slab'!$S$6:$S$75,17,'Section A Beam Slab'!$T$6:$T$75,"MANUAL"))</f>
        <v/>
      </c>
      <c r="O135" s="376" t="str">
        <f>IF(COUNTIFS('Section A Beam Slab'!$S$6:$S$75,17,'Section A Beam Slab'!$T$6:$T$75,"MANUAL",'Section A Beam Slab'!$G$6:$G$75,"&lt;&gt;")=0,"",SUMIFS('Section A Beam Slab'!$G$6:$G$75,'Section A Beam Slab'!$S$6:$S$75,17,'Section A Beam Slab'!$T$6:$T$75,"MANUAL"))</f>
        <v/>
      </c>
      <c r="P135" s="377" t="str">
        <f>IFERROR(SUBSTITUTE(SUBSTITUTE(INDEX('Section A Beam Slab'!$H$6:$H$75,MATCH(1,INDEX(('Section A Beam Slab'!$S$6:$S$75=17)*('Section A Beam Slab'!$T$6:$T$75="MANUAL"),0),0)),"NOT OKAY","NOT OK"),"OKAY","OK"),"")</f>
        <v/>
      </c>
      <c r="Q135" s="15"/>
      <c r="R135" s="15"/>
      <c r="S135" s="15"/>
      <c r="T135" s="15"/>
      <c r="U135" s="15"/>
      <c r="V135" s="15"/>
      <c r="W135" s="15"/>
      <c r="X135" s="15"/>
      <c r="Y135" s="15"/>
      <c r="Z135" s="15"/>
      <c r="AA135" s="15"/>
      <c r="AB135" s="15"/>
      <c r="AC135" s="15"/>
      <c r="AD135" s="15"/>
    </row>
    <row r="136" spans="1:30" ht="30" customHeight="1">
      <c r="A136" s="370"/>
      <c r="B136" s="371"/>
      <c r="C136" s="372"/>
      <c r="D136" s="373"/>
      <c r="E136" s="371"/>
      <c r="F136" s="373"/>
      <c r="G136" s="372"/>
      <c r="H136" s="372"/>
      <c r="I136" s="372"/>
      <c r="J136" s="372"/>
      <c r="K136" s="372"/>
      <c r="L136" s="372"/>
      <c r="M136" s="372"/>
      <c r="N136" s="376" t="str">
        <f>IF(COUNTIFS('Section A Beam Slab'!$S$6:$S$75,18,'Section A Beam Slab'!$T$6:$T$75,"MANUAL",'Section A Beam Slab'!$F$6:$F$75,"&lt;&gt;")=0,"",SUMIFS('Section A Beam Slab'!$F$6:$F$75,'Section A Beam Slab'!$S$6:$S$75,18,'Section A Beam Slab'!$T$6:$T$75,"MANUAL"))</f>
        <v/>
      </c>
      <c r="O136" s="376" t="str">
        <f>IF(COUNTIFS('Section A Beam Slab'!$S$6:$S$75,18,'Section A Beam Slab'!$T$6:$T$75,"MANUAL",'Section A Beam Slab'!$G$6:$G$75,"&lt;&gt;")=0,"",SUMIFS('Section A Beam Slab'!$G$6:$G$75,'Section A Beam Slab'!$S$6:$S$75,18,'Section A Beam Slab'!$T$6:$T$75,"MANUAL"))</f>
        <v/>
      </c>
      <c r="P136" s="377" t="str">
        <f>IFERROR(SUBSTITUTE(SUBSTITUTE(INDEX('Section A Beam Slab'!$H$6:$H$75,MATCH(1,INDEX(('Section A Beam Slab'!$S$6:$S$75=18)*('Section A Beam Slab'!$T$6:$T$75="MANUAL"),0),0)),"NOT OKAY","NOT OK"),"OKAY","OK"),"")</f>
        <v/>
      </c>
      <c r="Q136" s="15"/>
      <c r="R136" s="15"/>
      <c r="S136" s="15"/>
      <c r="T136" s="15"/>
      <c r="U136" s="15"/>
      <c r="V136" s="15"/>
      <c r="W136" s="15"/>
      <c r="X136" s="15"/>
      <c r="Y136" s="15"/>
      <c r="Z136" s="15"/>
      <c r="AA136" s="15"/>
      <c r="AB136" s="15"/>
      <c r="AC136" s="15"/>
      <c r="AD136" s="15"/>
    </row>
    <row r="137" spans="1:30" ht="30" customHeight="1">
      <c r="A137" s="370"/>
      <c r="B137" s="371"/>
      <c r="C137" s="372"/>
      <c r="D137" s="373"/>
      <c r="E137" s="371"/>
      <c r="F137" s="373"/>
      <c r="G137" s="372"/>
      <c r="H137" s="372"/>
      <c r="I137" s="372"/>
      <c r="J137" s="372"/>
      <c r="K137" s="372"/>
      <c r="L137" s="372"/>
      <c r="M137" s="372"/>
      <c r="N137" s="376" t="str">
        <f>IF(COUNTIFS('Section A Beam Slab'!$S$6:$S$75,19,'Section A Beam Slab'!$T$6:$T$75,"MANUAL",'Section A Beam Slab'!$F$6:$F$75,"&lt;&gt;")=0,"",SUMIFS('Section A Beam Slab'!$F$6:$F$75,'Section A Beam Slab'!$S$6:$S$75,19,'Section A Beam Slab'!$T$6:$T$75,"MANUAL"))</f>
        <v/>
      </c>
      <c r="O137" s="376" t="str">
        <f>IF(COUNTIFS('Section A Beam Slab'!$S$6:$S$75,19,'Section A Beam Slab'!$T$6:$T$75,"MANUAL",'Section A Beam Slab'!$G$6:$G$75,"&lt;&gt;")=0,"",SUMIFS('Section A Beam Slab'!$G$6:$G$75,'Section A Beam Slab'!$S$6:$S$75,19,'Section A Beam Slab'!$T$6:$T$75,"MANUAL"))</f>
        <v/>
      </c>
      <c r="P137" s="377" t="str">
        <f>IFERROR(SUBSTITUTE(SUBSTITUTE(INDEX('Section A Beam Slab'!$H$6:$H$75,MATCH(1,INDEX(('Section A Beam Slab'!$S$6:$S$75=19)*('Section A Beam Slab'!$T$6:$T$75="MANUAL"),0),0)),"NOT OKAY","NOT OK"),"OKAY","OK"),"")</f>
        <v/>
      </c>
      <c r="Q137" s="15"/>
      <c r="R137" s="15"/>
      <c r="S137" s="15"/>
      <c r="T137" s="15"/>
      <c r="U137" s="15"/>
      <c r="V137" s="15"/>
      <c r="W137" s="15"/>
      <c r="X137" s="15"/>
      <c r="Y137" s="15"/>
      <c r="Z137" s="15"/>
      <c r="AA137" s="15"/>
      <c r="AB137" s="15"/>
      <c r="AC137" s="15"/>
      <c r="AD137" s="15"/>
    </row>
    <row r="138" spans="1:30" ht="30" customHeight="1">
      <c r="A138" s="370"/>
      <c r="B138" s="371"/>
      <c r="C138" s="372"/>
      <c r="D138" s="373"/>
      <c r="E138" s="371"/>
      <c r="F138" s="373"/>
      <c r="G138" s="372"/>
      <c r="H138" s="372"/>
      <c r="I138" s="372"/>
      <c r="J138" s="372"/>
      <c r="K138" s="372"/>
      <c r="L138" s="372"/>
      <c r="M138" s="372"/>
      <c r="N138" s="376" t="str">
        <f>IF(COUNTIFS('Section A Beam Slab'!$S$6:$S$75,20,'Section A Beam Slab'!$T$6:$T$75,"MANUAL",'Section A Beam Slab'!$F$6:$F$75,"&lt;&gt;")=0,"",SUMIFS('Section A Beam Slab'!$F$6:$F$75,'Section A Beam Slab'!$S$6:$S$75,20,'Section A Beam Slab'!$T$6:$T$75,"MANUAL"))</f>
        <v/>
      </c>
      <c r="O138" s="376" t="str">
        <f>IF(COUNTIFS('Section A Beam Slab'!$S$6:$S$75,20,'Section A Beam Slab'!$T$6:$T$75,"MANUAL",'Section A Beam Slab'!$G$6:$G$75,"&lt;&gt;")=0,"",SUMIFS('Section A Beam Slab'!$G$6:$G$75,'Section A Beam Slab'!$S$6:$S$75,20,'Section A Beam Slab'!$T$6:$T$75,"MANUAL"))</f>
        <v/>
      </c>
      <c r="P138" s="377" t="str">
        <f>IFERROR(SUBSTITUTE(SUBSTITUTE(INDEX('Section A Beam Slab'!$H$6:$H$75,MATCH(1,INDEX(('Section A Beam Slab'!$S$6:$S$75=20)*('Section A Beam Slab'!$T$6:$T$75="MANUAL"),0),0)),"NOT OKAY","NOT OK"),"OKAY","OK"),"")</f>
        <v/>
      </c>
      <c r="Q138" s="15"/>
      <c r="R138" s="15"/>
      <c r="S138" s="15"/>
      <c r="T138" s="15"/>
      <c r="U138" s="15"/>
      <c r="V138" s="15"/>
      <c r="W138" s="15"/>
      <c r="X138" s="15"/>
      <c r="Y138" s="15"/>
      <c r="Z138" s="15"/>
      <c r="AA138" s="15"/>
      <c r="AB138" s="15"/>
      <c r="AC138" s="15"/>
      <c r="AD138" s="15"/>
    </row>
    <row r="139" spans="1:30" ht="30" customHeight="1">
      <c r="A139" s="370"/>
      <c r="B139" s="371"/>
      <c r="C139" s="372"/>
      <c r="D139" s="373"/>
      <c r="E139" s="371"/>
      <c r="F139" s="373"/>
      <c r="G139" s="372"/>
      <c r="H139" s="372"/>
      <c r="I139" s="372"/>
      <c r="J139" s="372"/>
      <c r="K139" s="372"/>
      <c r="L139" s="372"/>
      <c r="M139" s="372"/>
      <c r="N139" s="376" t="str">
        <f>IF(COUNTIFS('Section A Beam Slab'!$S$6:$S$75,21,'Section A Beam Slab'!$T$6:$T$75,"MANUAL",'Section A Beam Slab'!$F$6:$F$75,"&lt;&gt;")=0,"",SUMIFS('Section A Beam Slab'!$F$6:$F$75,'Section A Beam Slab'!$S$6:$S$75,21,'Section A Beam Slab'!$T$6:$T$75,"MANUAL"))</f>
        <v/>
      </c>
      <c r="O139" s="376" t="str">
        <f>IF(COUNTIFS('Section A Beam Slab'!$S$6:$S$75,21,'Section A Beam Slab'!$T$6:$T$75,"MANUAL",'Section A Beam Slab'!$G$6:$G$75,"&lt;&gt;")=0,"",SUMIFS('Section A Beam Slab'!$G$6:$G$75,'Section A Beam Slab'!$S$6:$S$75,21,'Section A Beam Slab'!$T$6:$T$75,"MANUAL"))</f>
        <v/>
      </c>
      <c r="P139" s="377" t="str">
        <f>IFERROR(SUBSTITUTE(SUBSTITUTE(INDEX('Section A Beam Slab'!$H$6:$H$75,MATCH(1,INDEX(('Section A Beam Slab'!$S$6:$S$75=21)*('Section A Beam Slab'!$T$6:$T$75="MANUAL"),0),0)),"NOT OKAY","NOT OK"),"OKAY","OK"),"")</f>
        <v/>
      </c>
      <c r="Q139" s="15"/>
      <c r="R139" s="15"/>
      <c r="S139" s="15"/>
      <c r="T139" s="15"/>
      <c r="U139" s="15"/>
      <c r="V139" s="15"/>
      <c r="W139" s="15"/>
      <c r="X139" s="15"/>
      <c r="Y139" s="15"/>
      <c r="Z139" s="15"/>
      <c r="AA139" s="15"/>
      <c r="AB139" s="15"/>
      <c r="AC139" s="15"/>
      <c r="AD139" s="15"/>
    </row>
    <row r="140" spans="1:30" ht="30" customHeight="1">
      <c r="A140" s="370"/>
      <c r="B140" s="371"/>
      <c r="C140" s="372"/>
      <c r="D140" s="373"/>
      <c r="E140" s="371"/>
      <c r="F140" s="373"/>
      <c r="G140" s="372"/>
      <c r="H140" s="372"/>
      <c r="I140" s="372"/>
      <c r="J140" s="372"/>
      <c r="K140" s="372"/>
      <c r="L140" s="372"/>
      <c r="M140" s="372"/>
      <c r="N140" s="376" t="str">
        <f>IF(COUNTIFS('Section A Beam Slab'!$S$6:$S$75,22,'Section A Beam Slab'!$T$6:$T$75,"MANUAL",'Section A Beam Slab'!$F$6:$F$75,"&lt;&gt;")=0,"",SUMIFS('Section A Beam Slab'!$F$6:$F$75,'Section A Beam Slab'!$S$6:$S$75,22,'Section A Beam Slab'!$T$6:$T$75,"MANUAL"))</f>
        <v/>
      </c>
      <c r="O140" s="376" t="str">
        <f>IF(COUNTIFS('Section A Beam Slab'!$S$6:$S$75,22,'Section A Beam Slab'!$T$6:$T$75,"MANUAL",'Section A Beam Slab'!$G$6:$G$75,"&lt;&gt;")=0,"",SUMIFS('Section A Beam Slab'!$G$6:$G$75,'Section A Beam Slab'!$S$6:$S$75,22,'Section A Beam Slab'!$T$6:$T$75,"MANUAL"))</f>
        <v/>
      </c>
      <c r="P140" s="377" t="str">
        <f>IFERROR(SUBSTITUTE(SUBSTITUTE(INDEX('Section A Beam Slab'!$H$6:$H$75,MATCH(1,INDEX(('Section A Beam Slab'!$S$6:$S$75=22)*('Section A Beam Slab'!$T$6:$T$75="MANUAL"),0),0)),"NOT OKAY","NOT OK"),"OKAY","OK"),"")</f>
        <v/>
      </c>
      <c r="Q140" s="15"/>
      <c r="R140" s="15"/>
      <c r="S140" s="15"/>
      <c r="T140" s="15"/>
      <c r="U140" s="15"/>
      <c r="V140" s="15"/>
      <c r="W140" s="15"/>
      <c r="X140" s="15"/>
      <c r="Y140" s="15"/>
      <c r="Z140" s="15"/>
      <c r="AA140" s="15"/>
      <c r="AB140" s="15"/>
      <c r="AC140" s="15"/>
      <c r="AD140" s="15"/>
    </row>
    <row r="141" spans="1:30" ht="30" customHeight="1">
      <c r="A141" s="370"/>
      <c r="B141" s="371"/>
      <c r="C141" s="372"/>
      <c r="D141" s="373"/>
      <c r="E141" s="371"/>
      <c r="F141" s="373"/>
      <c r="G141" s="372"/>
      <c r="H141" s="372"/>
      <c r="I141" s="372"/>
      <c r="J141" s="372"/>
      <c r="K141" s="372"/>
      <c r="L141" s="372"/>
      <c r="M141" s="372"/>
      <c r="N141" s="376" t="str">
        <f>IF(COUNTIFS('Section A Beam Slab'!$S$6:$S$75,23,'Section A Beam Slab'!$T$6:$T$75,"MANUAL",'Section A Beam Slab'!$F$6:$F$75,"&lt;&gt;")=0,"",SUMIFS('Section A Beam Slab'!$F$6:$F$75,'Section A Beam Slab'!$S$6:$S$75,23,'Section A Beam Slab'!$T$6:$T$75,"MANUAL"))</f>
        <v/>
      </c>
      <c r="O141" s="376" t="str">
        <f>IF(COUNTIFS('Section A Beam Slab'!$S$6:$S$75,23,'Section A Beam Slab'!$T$6:$T$75,"MANUAL",'Section A Beam Slab'!$G$6:$G$75,"&lt;&gt;")=0,"",SUMIFS('Section A Beam Slab'!$G$6:$G$75,'Section A Beam Slab'!$S$6:$S$75,23,'Section A Beam Slab'!$T$6:$T$75,"MANUAL"))</f>
        <v/>
      </c>
      <c r="P141" s="377" t="str">
        <f>IFERROR(SUBSTITUTE(SUBSTITUTE(INDEX('Section A Beam Slab'!$H$6:$H$75,MATCH(1,INDEX(('Section A Beam Slab'!$S$6:$S$75=23)*('Section A Beam Slab'!$T$6:$T$75="MANUAL"),0),0)),"NOT OKAY","NOT OK"),"OKAY","OK"),"")</f>
        <v/>
      </c>
      <c r="Q141" s="15"/>
      <c r="R141" s="15"/>
      <c r="S141" s="15"/>
      <c r="T141" s="15"/>
      <c r="U141" s="15"/>
      <c r="V141" s="15"/>
      <c r="W141" s="15"/>
      <c r="X141" s="15"/>
      <c r="Y141" s="15"/>
      <c r="Z141" s="15"/>
      <c r="AA141" s="15"/>
      <c r="AB141" s="15"/>
      <c r="AC141" s="15"/>
      <c r="AD141" s="15"/>
    </row>
    <row r="142" spans="1:30" ht="30" customHeight="1">
      <c r="A142" s="370"/>
      <c r="B142" s="371"/>
      <c r="C142" s="372"/>
      <c r="D142" s="373"/>
      <c r="E142" s="371"/>
      <c r="F142" s="373"/>
      <c r="G142" s="372"/>
      <c r="H142" s="372"/>
      <c r="I142" s="372"/>
      <c r="J142" s="372"/>
      <c r="K142" s="372"/>
      <c r="L142" s="372"/>
      <c r="M142" s="372"/>
      <c r="N142" s="376" t="str">
        <f>IF(COUNTIFS('Section A Beam Slab'!$S$6:$S$75,24,'Section A Beam Slab'!$T$6:$T$75,"MANUAL",'Section A Beam Slab'!$F$6:$F$75,"&lt;&gt;")=0,"",SUMIFS('Section A Beam Slab'!$F$6:$F$75,'Section A Beam Slab'!$S$6:$S$75,24,'Section A Beam Slab'!$T$6:$T$75,"MANUAL"))</f>
        <v/>
      </c>
      <c r="O142" s="376" t="str">
        <f>IF(COUNTIFS('Section A Beam Slab'!$S$6:$S$75,24,'Section A Beam Slab'!$T$6:$T$75,"MANUAL",'Section A Beam Slab'!$G$6:$G$75,"&lt;&gt;")=0,"",SUMIFS('Section A Beam Slab'!$G$6:$G$75,'Section A Beam Slab'!$S$6:$S$75,24,'Section A Beam Slab'!$T$6:$T$75,"MANUAL"))</f>
        <v/>
      </c>
      <c r="P142" s="377" t="str">
        <f>IFERROR(SUBSTITUTE(SUBSTITUTE(INDEX('Section A Beam Slab'!$H$6:$H$75,MATCH(1,INDEX(('Section A Beam Slab'!$S$6:$S$75=24)*('Section A Beam Slab'!$T$6:$T$75="MANUAL"),0),0)),"NOT OKAY","NOT OK"),"OKAY","OK"),"")</f>
        <v/>
      </c>
      <c r="Q142" s="15"/>
      <c r="R142" s="15"/>
      <c r="S142" s="15"/>
      <c r="T142" s="15"/>
      <c r="U142" s="15"/>
      <c r="V142" s="15"/>
      <c r="W142" s="15"/>
      <c r="X142" s="15"/>
      <c r="Y142" s="15"/>
      <c r="Z142" s="15"/>
      <c r="AA142" s="15"/>
      <c r="AB142" s="15"/>
      <c r="AC142" s="15"/>
      <c r="AD142" s="15"/>
    </row>
    <row r="143" spans="1:30" ht="30" customHeight="1">
      <c r="A143" s="370"/>
      <c r="B143" s="371"/>
      <c r="C143" s="372"/>
      <c r="D143" s="373"/>
      <c r="E143" s="371"/>
      <c r="F143" s="373"/>
      <c r="G143" s="372"/>
      <c r="H143" s="372"/>
      <c r="I143" s="372"/>
      <c r="J143" s="372"/>
      <c r="K143" s="372"/>
      <c r="L143" s="372"/>
      <c r="M143" s="372"/>
      <c r="N143" s="376" t="str">
        <f>IF(COUNTIFS('Section A Beam Slab'!$S$6:$S$75,25,'Section A Beam Slab'!$T$6:$T$75,"MANUAL",'Section A Beam Slab'!$F$6:$F$75,"&lt;&gt;")=0,"",SUMIFS('Section A Beam Slab'!$F$6:$F$75,'Section A Beam Slab'!$S$6:$S$75,25,'Section A Beam Slab'!$T$6:$T$75,"MANUAL"))</f>
        <v/>
      </c>
      <c r="O143" s="376" t="str">
        <f>IF(COUNTIFS('Section A Beam Slab'!$S$6:$S$75,25,'Section A Beam Slab'!$T$6:$T$75,"MANUAL",'Section A Beam Slab'!$G$6:$G$75,"&lt;&gt;")=0,"",SUMIFS('Section A Beam Slab'!$G$6:$G$75,'Section A Beam Slab'!$S$6:$S$75,25,'Section A Beam Slab'!$T$6:$T$75,"MANUAL"))</f>
        <v/>
      </c>
      <c r="P143" s="377" t="str">
        <f>IFERROR(SUBSTITUTE(SUBSTITUTE(INDEX('Section A Beam Slab'!$H$6:$H$75,MATCH(1,INDEX(('Section A Beam Slab'!$S$6:$S$75=25)*('Section A Beam Slab'!$T$6:$T$75="MANUAL"),0),0)),"NOT OKAY","NOT OK"),"OKAY","OK"),"")</f>
        <v/>
      </c>
      <c r="Q143" s="15"/>
      <c r="R143" s="15"/>
      <c r="S143" s="15"/>
      <c r="T143" s="15"/>
      <c r="U143" s="15"/>
      <c r="V143" s="15"/>
      <c r="W143" s="15"/>
      <c r="X143" s="15"/>
      <c r="Y143" s="15"/>
      <c r="Z143" s="15"/>
      <c r="AA143" s="15"/>
      <c r="AB143" s="15"/>
      <c r="AC143" s="15"/>
      <c r="AD143" s="15"/>
    </row>
    <row r="144" spans="1:30" ht="22.9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30" ht="22.9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row>
    <row r="146" spans="1:30" ht="22.9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row>
    <row r="147" spans="1:30" ht="22.95" customHeight="1">
      <c r="Q147" s="15"/>
    </row>
    <row r="148" spans="1:30" ht="22.9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row>
    <row r="149" spans="1:30" ht="22.9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row>
    <row r="150" spans="1:30" ht="22.9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row>
    <row r="151" spans="1:30" ht="22.9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row>
    <row r="152" spans="1:30" ht="22.9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row>
    <row r="153" spans="1:30" ht="22.9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row>
    <row r="154" spans="1:30" ht="22.9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row>
    <row r="155" spans="1:30" ht="22.9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row>
    <row r="156" spans="1:30" ht="22.9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row>
    <row r="157" spans="1:30" ht="22.9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row>
    <row r="158" spans="1:30" ht="22.9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row>
    <row r="159" spans="1:30" ht="22.9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row>
    <row r="160" spans="1:30" ht="22.9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row>
    <row r="161" spans="1:30" ht="22.9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row>
    <row r="162" spans="1:30" ht="22.9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row>
    <row r="163" spans="1:30" ht="22.9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row>
    <row r="164" spans="1:30" ht="22.9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row>
    <row r="165" spans="1:30" ht="22.9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row>
    <row r="166" spans="1:30" ht="22.9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row>
    <row r="167" spans="1:30" ht="22.9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row>
    <row r="168" spans="1:30" ht="22.9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row>
    <row r="169" spans="1:30" ht="22.9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row>
    <row r="170" spans="1:30" ht="22.9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row>
    <row r="171" spans="1:30" ht="22.95" customHeight="1"/>
    <row r="172" spans="1:30" ht="22.95" customHeight="1"/>
    <row r="173" spans="1:30" ht="22.95" customHeight="1"/>
    <row r="174" spans="1:30" ht="22.95" customHeight="1"/>
    <row r="175" spans="1:30" ht="22.95" customHeight="1"/>
    <row r="176" spans="1:30" ht="22.95" customHeight="1"/>
  </sheetData>
  <mergeCells count="28">
    <mergeCell ref="A122:P122"/>
    <mergeCell ref="A31:P31"/>
    <mergeCell ref="A32:P32"/>
    <mergeCell ref="A46:P46"/>
    <mergeCell ref="A47:P47"/>
    <mergeCell ref="A71:P71"/>
    <mergeCell ref="A72:P72"/>
    <mergeCell ref="R121:AD121"/>
    <mergeCell ref="A7:P7"/>
    <mergeCell ref="A96:P96"/>
    <mergeCell ref="A97:P97"/>
    <mergeCell ref="A121:P121"/>
    <mergeCell ref="A1:P1"/>
    <mergeCell ref="A3:B3"/>
    <mergeCell ref="H3:P3"/>
    <mergeCell ref="A6:P6"/>
    <mergeCell ref="A2:B2"/>
    <mergeCell ref="C2:E2"/>
    <mergeCell ref="F2:G2"/>
    <mergeCell ref="C3:E3"/>
    <mergeCell ref="F3:G3"/>
    <mergeCell ref="A4:B4"/>
    <mergeCell ref="C4:E4"/>
    <mergeCell ref="F4:G4"/>
    <mergeCell ref="A5:B5"/>
    <mergeCell ref="C5:E5"/>
    <mergeCell ref="F5:G5"/>
    <mergeCell ref="H4:P4"/>
  </mergeCells>
  <phoneticPr fontId="10" type="noConversion"/>
  <conditionalFormatting sqref="L34:L43">
    <cfRule type="cellIs" dxfId="71" priority="1" stopIfTrue="1" operator="equal">
      <formula>"NOT OK"</formula>
    </cfRule>
  </conditionalFormatting>
  <conditionalFormatting sqref="J49:J68">
    <cfRule type="cellIs" dxfId="70" priority="2" stopIfTrue="1" operator="equal">
      <formula>"NOT OK"</formula>
    </cfRule>
  </conditionalFormatting>
  <conditionalFormatting sqref="H74:H93">
    <cfRule type="cellIs" dxfId="69" priority="3" stopIfTrue="1" operator="equal">
      <formula>"NOT OK"</formula>
    </cfRule>
  </conditionalFormatting>
  <conditionalFormatting sqref="P124:P143">
    <cfRule type="cellIs" dxfId="68" priority="4" stopIfTrue="1" operator="equal">
      <formula>"NOT OK"</formula>
    </cfRule>
  </conditionalFormatting>
  <dataValidations count="15">
    <dataValidation type="list" allowBlank="1" showInputMessage="1" showErrorMessage="1" sqref="F3 F4 F5" xr:uid="{96B80600-62C9-4EB9-9A26-9D5D3E5D27AB}">
      <formula1>FireHours71</formula1>
    </dataValidation>
    <dataValidation type="list" allowBlank="1" showInputMessage="1" showErrorMessage="1" sqref="B9:B28" xr:uid="{0F2C97E0-0CEB-4C99-8040-E990811A2ABC}">
      <formula1>UsageOptions</formula1>
    </dataValidation>
    <dataValidation type="list" allowBlank="1" showInputMessage="1" showErrorMessage="1" sqref="G34:G43 G49:G68 E74:E93" xr:uid="{71062811-1269-4D9A-83C6-6EA66C1C3E44}">
      <formula1>"Simply-supported,Continuous,End span,Cantilever"</formula1>
    </dataValidation>
    <dataValidation type="list" allowBlank="1" showInputMessage="1" showErrorMessage="1" errorTitle="Select Usage" error="Select a use from the Imposed Load list." sqref="H34:H43" xr:uid="{854AC651-5BB6-4B7D-9018-B3B52214F51F}">
      <formula1>UsageOptions</formula1>
    </dataValidation>
    <dataValidation type="decimal" operator="greaterThanOrEqual" allowBlank="1" showInputMessage="1" showErrorMessage="1" errorTitle="Numeric input" error="Enter a number in the unit shown in the column heading." sqref="D34:F43 D99:D118" xr:uid="{17F67E09-9C67-4290-B93A-8C0A2A0FC5BD}">
      <formula1>0</formula1>
    </dataValidation>
    <dataValidation type="decimal" operator="greaterThan" allowBlank="1" showInputMessage="1" showErrorMessage="1" errorTitle="Numeric input" error="Enter a number in the unit shown in the column heading." sqref="B34:C43 B49:D68 B74:D93" xr:uid="{62A6C6BD-38F8-4819-B56E-10C757970AA8}">
      <formula1>0</formula1>
    </dataValidation>
    <dataValidation type="list" allowBlank="1" showInputMessage="1" showErrorMessage="1" sqref="E49:F68" xr:uid="{A324CB75-A5F4-471F-B541-81CD4E341C6E}">
      <formula1>SlabIDs66</formula1>
    </dataValidation>
    <dataValidation type="list" allowBlank="1" showInputMessage="1" showErrorMessage="1" sqref="C99:C118" xr:uid="{08E54E50-9395-4B83-A7FC-226D24CA0B4E}">
      <formula1>"Upper,Lower"</formula1>
    </dataValidation>
    <dataValidation type="list" allowBlank="1" showInputMessage="1" showErrorMessage="1" sqref="B99:B118" xr:uid="{F8523E61-4976-4633-B81B-8CB4F053FBC7}">
      <formula1>SBIDs66</formula1>
    </dataValidation>
    <dataValidation type="list" allowBlank="1" showInputMessage="1" showErrorMessage="1" sqref="A99:A118" xr:uid="{C2330AB0-4AE1-4803-BD4C-6DAACF8219E3}">
      <formula1>MBIDs66</formula1>
    </dataValidation>
    <dataValidation type="list" allowBlank="1" showInputMessage="1" showErrorMessage="1" sqref="B124:B143" xr:uid="{F220D117-F100-492B-B392-0CE74ACD43BA}">
      <formula1>"Cantilever Beam,Cantilever Slab,Beam,Slab"</formula1>
    </dataValidation>
    <dataValidation type="list" allowBlank="1" showInputMessage="1" showErrorMessage="1" sqref="E124:E143" xr:uid="{A643A6E9-D720-4579-B198-3D10766D71A7}">
      <formula1>"Cantilever,Simply-supported,Continuous,End span"</formula1>
    </dataValidation>
    <dataValidation type="list" allowBlank="1" showInputMessage="1" showErrorMessage="1" sqref="C3" xr:uid="{33D6FF00-599F-4CCD-8045-09E4929C6045}">
      <formula1>"45,60"</formula1>
    </dataValidation>
    <dataValidation type="decimal" allowBlank="1" showInputMessage="1" showErrorMessage="1" sqref="C4" xr:uid="{895E5429-9077-424A-B08B-EF0F9060A984}">
      <formula1>25</formula1>
      <formula2>100</formula2>
    </dataValidation>
    <dataValidation type="decimal" allowBlank="1" showInputMessage="1" showErrorMessage="1" sqref="C5" xr:uid="{5BB9F975-83DC-4B40-B51C-1CA605AD62DC}">
      <formula1>25</formula1>
      <formula2>80</formula2>
    </dataValidation>
  </dataValidations>
  <pageMargins left="0.7" right="0.7" top="0.75" bottom="0.75" header="0.3" footer="0.3"/>
  <pageSetup paperSize="9"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BF6E1-B6A7-459C-90C8-CA30A3B3686E}">
  <sheetPr codeName="Sheet18">
    <tabColor rgb="FF205E73"/>
    <pageSetUpPr fitToPage="1"/>
  </sheetPr>
  <dimension ref="A1:BE200"/>
  <sheetViews>
    <sheetView showGridLines="0" zoomScale="90" zoomScaleNormal="90" workbookViewId="0">
      <pane ySplit="5" topLeftCell="A6" activePane="bottomLeft" state="frozenSplit"/>
      <selection pane="bottomLeft" sqref="A1:I1"/>
    </sheetView>
  </sheetViews>
  <sheetFormatPr defaultRowHeight="13.8"/>
  <cols>
    <col min="1" max="7" width="14.69921875" customWidth="1"/>
    <col min="8" max="8" width="25.59765625" customWidth="1"/>
    <col min="9" max="9" width="27.59765625" customWidth="1"/>
    <col min="10" max="10" width="16.69921875" customWidth="1"/>
    <col min="11" max="13" width="20.69921875" customWidth="1"/>
    <col min="14" max="17" width="16.69921875" customWidth="1"/>
    <col min="18" max="25" width="12.69921875" customWidth="1"/>
    <col min="26" max="30" width="16.69921875" customWidth="1"/>
    <col min="31" max="32" width="40.69921875" customWidth="1"/>
    <col min="33" max="33" width="26.69921875" customWidth="1"/>
    <col min="34" max="34" width="25.69921875" hidden="1" customWidth="1"/>
    <col min="35" max="37" width="0" hidden="1" customWidth="1"/>
    <col min="39" max="43" width="0" hidden="1" customWidth="1"/>
    <col min="45" max="45" width="0" hidden="1" customWidth="1"/>
    <col min="47" max="57" width="0" hidden="1" customWidth="1"/>
  </cols>
  <sheetData>
    <row r="1" spans="1:57" ht="24" customHeight="1">
      <c r="A1" s="410" t="s">
        <v>1095</v>
      </c>
      <c r="B1" s="410"/>
      <c r="C1" s="410"/>
      <c r="D1" s="410"/>
      <c r="E1" s="410"/>
      <c r="F1" s="410"/>
      <c r="G1" s="410"/>
      <c r="H1" s="410"/>
      <c r="I1" s="411"/>
      <c r="Q1" s="147"/>
      <c r="R1" s="147"/>
      <c r="S1" s="147"/>
      <c r="T1" s="147"/>
      <c r="U1" s="147"/>
      <c r="V1" s="147"/>
      <c r="W1" s="147"/>
      <c r="X1" s="147"/>
      <c r="Y1" s="147"/>
      <c r="Z1" s="104"/>
      <c r="AA1" s="104"/>
      <c r="AB1" s="104"/>
      <c r="AC1" s="104"/>
      <c r="AD1" s="104"/>
      <c r="AE1" s="104"/>
      <c r="AF1" s="104"/>
      <c r="AS1" t="s">
        <v>960</v>
      </c>
      <c r="AU1" t="s">
        <v>102</v>
      </c>
      <c r="AV1" t="s">
        <v>101</v>
      </c>
      <c r="AW1" t="s">
        <v>106</v>
      </c>
      <c r="AX1" t="s">
        <v>966</v>
      </c>
      <c r="AY1" t="s">
        <v>967</v>
      </c>
      <c r="AZ1" t="s">
        <v>968</v>
      </c>
      <c r="BA1" t="s">
        <v>969</v>
      </c>
      <c r="BB1" t="s">
        <v>972</v>
      </c>
      <c r="BC1" t="s">
        <v>973</v>
      </c>
    </row>
    <row r="2" spans="1:57" ht="4.05" customHeight="1">
      <c r="A2" s="147"/>
      <c r="B2" s="147"/>
      <c r="C2" s="147"/>
      <c r="D2" s="147"/>
      <c r="E2" s="147"/>
      <c r="F2" s="147"/>
      <c r="G2" s="147"/>
      <c r="H2" s="147"/>
      <c r="I2" s="147"/>
      <c r="Q2" s="147"/>
      <c r="R2" s="147"/>
      <c r="S2" s="147"/>
      <c r="T2" s="147"/>
      <c r="U2" s="147"/>
      <c r="V2" s="147"/>
      <c r="W2" s="147"/>
      <c r="X2" s="147"/>
      <c r="Y2" s="147"/>
      <c r="Z2" s="104"/>
      <c r="AA2" s="104"/>
      <c r="AB2" s="104"/>
      <c r="AC2" s="104"/>
      <c r="AD2" s="104"/>
      <c r="AE2" s="104"/>
      <c r="AF2" s="104"/>
      <c r="AS2">
        <v>46277.024629629632</v>
      </c>
      <c r="AU2">
        <v>1</v>
      </c>
      <c r="AV2">
        <v>46277.024618055555</v>
      </c>
    </row>
    <row r="3" spans="1:57" ht="22.95" hidden="1" customHeight="1">
      <c r="A3" s="412" t="s">
        <v>904</v>
      </c>
      <c r="B3" s="413"/>
      <c r="C3" s="149" t="s">
        <v>900</v>
      </c>
      <c r="D3" s="412" t="s">
        <v>905</v>
      </c>
      <c r="E3" s="413"/>
      <c r="F3" s="149" t="s">
        <v>970</v>
      </c>
      <c r="G3" s="412" t="s">
        <v>906</v>
      </c>
      <c r="H3" s="413"/>
      <c r="I3" s="149" t="s">
        <v>971</v>
      </c>
      <c r="Q3" s="150"/>
      <c r="R3" s="150"/>
      <c r="S3" s="150"/>
      <c r="T3" s="150"/>
      <c r="U3" s="150"/>
      <c r="V3" s="150"/>
      <c r="W3" s="150"/>
      <c r="X3" s="150"/>
      <c r="Y3" s="150"/>
      <c r="Z3" s="100"/>
      <c r="AA3" s="100"/>
      <c r="AB3" s="100"/>
      <c r="AC3" s="100"/>
      <c r="AD3" s="100"/>
      <c r="AE3" s="100"/>
      <c r="AF3" s="100"/>
    </row>
    <row r="4" spans="1:57" ht="22.95" customHeight="1">
      <c r="A4" s="412" t="s">
        <v>890</v>
      </c>
      <c r="B4" s="413"/>
      <c r="C4" s="151"/>
      <c r="D4" s="412" t="s">
        <v>907</v>
      </c>
      <c r="E4" s="413"/>
      <c r="F4" s="152"/>
      <c r="G4" s="414" t="s">
        <v>1109</v>
      </c>
      <c r="H4" s="415"/>
      <c r="I4" s="415"/>
      <c r="Q4" s="150"/>
      <c r="R4" s="150"/>
      <c r="S4" s="150"/>
      <c r="T4" s="150"/>
      <c r="U4" s="150"/>
      <c r="V4" s="150"/>
      <c r="W4" s="150"/>
      <c r="X4" s="150"/>
      <c r="Y4" s="150"/>
      <c r="Z4" s="100"/>
      <c r="AA4" s="100"/>
      <c r="AB4" s="100"/>
      <c r="AC4" s="100"/>
      <c r="AD4" s="100"/>
      <c r="AE4" s="100"/>
      <c r="AF4" s="100"/>
    </row>
    <row r="5" spans="1:57" ht="25.95" customHeight="1">
      <c r="A5" s="369" t="s">
        <v>1117</v>
      </c>
      <c r="B5" s="148"/>
      <c r="C5" s="150"/>
      <c r="D5" s="150"/>
      <c r="E5" s="150"/>
      <c r="F5" s="150"/>
      <c r="G5" s="150"/>
      <c r="H5" s="150"/>
      <c r="I5" s="153"/>
      <c r="Q5" s="150"/>
      <c r="R5" s="153"/>
      <c r="S5" s="153"/>
      <c r="T5" s="153"/>
      <c r="U5" s="150"/>
      <c r="V5" s="150"/>
      <c r="W5" s="150"/>
      <c r="X5" s="150"/>
      <c r="Y5" s="150"/>
      <c r="Z5" s="100"/>
      <c r="AA5" s="100"/>
      <c r="AB5" s="100"/>
      <c r="AC5" s="100"/>
      <c r="AD5" s="100"/>
      <c r="AE5" s="100"/>
      <c r="AF5" s="100"/>
    </row>
    <row r="6" spans="1:57" ht="24" customHeight="1">
      <c r="A6" s="408" t="s">
        <v>881</v>
      </c>
      <c r="B6" s="408"/>
      <c r="C6" s="408"/>
      <c r="D6" s="408"/>
      <c r="E6" s="408"/>
      <c r="F6" s="408"/>
      <c r="G6" s="408"/>
      <c r="H6" s="408"/>
      <c r="I6" s="409"/>
      <c r="Q6" s="155"/>
      <c r="R6" s="155"/>
      <c r="S6" s="155"/>
      <c r="T6" s="150"/>
      <c r="U6" s="150"/>
      <c r="V6" s="150"/>
      <c r="W6" s="150"/>
      <c r="X6" s="150"/>
      <c r="Y6" s="150"/>
      <c r="Z6" s="100"/>
      <c r="AA6" s="100"/>
      <c r="AB6" s="100"/>
      <c r="AC6" s="100"/>
      <c r="AD6" s="100"/>
      <c r="AE6" s="100"/>
      <c r="AF6" s="100"/>
    </row>
    <row r="7" spans="1:57" ht="4.95" customHeight="1">
      <c r="A7" s="409"/>
      <c r="B7" s="409"/>
      <c r="C7" s="409"/>
      <c r="D7" s="409"/>
      <c r="E7" s="409"/>
      <c r="F7" s="409"/>
      <c r="G7" s="409"/>
      <c r="H7" s="409"/>
      <c r="I7" s="409"/>
      <c r="Q7" s="155"/>
      <c r="R7" s="155"/>
      <c r="S7" s="155"/>
      <c r="T7" s="150"/>
      <c r="U7" s="150"/>
      <c r="V7" s="150"/>
      <c r="W7" s="150"/>
      <c r="X7" s="150"/>
      <c r="Y7" s="150"/>
      <c r="Z7" s="100"/>
      <c r="AA7" s="100"/>
      <c r="AB7" s="100"/>
      <c r="AC7" s="100"/>
      <c r="AD7" s="100"/>
      <c r="AE7" s="100"/>
      <c r="AF7" s="100"/>
    </row>
    <row r="8" spans="1:57" ht="32.1" customHeight="1">
      <c r="A8" s="416" t="s">
        <v>1116</v>
      </c>
      <c r="B8" s="416"/>
      <c r="C8" s="416"/>
      <c r="D8" s="416"/>
      <c r="E8" s="416"/>
      <c r="F8" s="416"/>
      <c r="G8" s="416"/>
      <c r="H8" s="416"/>
      <c r="I8" s="416"/>
      <c r="J8" s="154"/>
      <c r="K8" s="154"/>
      <c r="L8" s="154"/>
      <c r="M8" s="154"/>
      <c r="N8" s="154"/>
      <c r="O8" s="154"/>
      <c r="P8" s="154"/>
      <c r="Q8" s="154"/>
      <c r="R8" s="154"/>
      <c r="S8" s="154"/>
      <c r="T8" s="150"/>
      <c r="U8" s="150"/>
      <c r="V8" s="150"/>
      <c r="W8" s="150"/>
      <c r="X8" s="150"/>
      <c r="Y8" s="150"/>
      <c r="Z8" s="100"/>
      <c r="AA8" s="100"/>
      <c r="AB8" s="100"/>
      <c r="AC8" s="100"/>
      <c r="AD8" s="100"/>
      <c r="AE8" s="100"/>
      <c r="AF8" s="100"/>
    </row>
    <row r="9" spans="1:57" ht="12" customHeight="1">
      <c r="A9" s="417"/>
      <c r="B9" s="417"/>
      <c r="C9" s="417"/>
      <c r="D9" s="417"/>
      <c r="E9" s="417"/>
      <c r="F9" s="417"/>
      <c r="G9" s="417"/>
      <c r="H9" s="417"/>
      <c r="I9" s="417"/>
      <c r="J9" s="156"/>
      <c r="K9" s="156"/>
      <c r="L9" s="156"/>
      <c r="M9" s="156"/>
      <c r="N9" s="156"/>
      <c r="O9" s="156"/>
      <c r="P9" s="156"/>
      <c r="Q9" s="156"/>
      <c r="R9" s="156"/>
      <c r="S9" s="156"/>
      <c r="T9" s="150"/>
      <c r="U9" s="150"/>
      <c r="V9" s="150"/>
      <c r="W9" s="150"/>
      <c r="X9" s="150"/>
      <c r="Y9" s="150"/>
      <c r="Z9" s="100"/>
      <c r="AA9" s="100"/>
      <c r="AB9" s="100"/>
      <c r="AC9" s="100"/>
      <c r="AD9" s="100"/>
      <c r="AE9" s="100"/>
      <c r="AF9" s="100"/>
      <c r="BD9" t="s">
        <v>976</v>
      </c>
      <c r="BE9" t="s">
        <v>980</v>
      </c>
    </row>
    <row r="10" spans="1:57" ht="37.950000000000003" customHeight="1">
      <c r="A10" s="105" t="s">
        <v>816</v>
      </c>
      <c r="B10" s="105" t="s">
        <v>817</v>
      </c>
      <c r="C10" s="105" t="s">
        <v>818</v>
      </c>
      <c r="D10" s="105" t="s">
        <v>819</v>
      </c>
      <c r="E10" s="105" t="s">
        <v>491</v>
      </c>
      <c r="F10" s="105" t="s">
        <v>333</v>
      </c>
      <c r="G10" s="105" t="s">
        <v>820</v>
      </c>
      <c r="H10" s="105" t="s">
        <v>127</v>
      </c>
      <c r="I10" s="105" t="s">
        <v>755</v>
      </c>
      <c r="J10" s="194" t="s">
        <v>821</v>
      </c>
      <c r="K10" s="194" t="s">
        <v>884</v>
      </c>
      <c r="L10" s="194" t="s">
        <v>885</v>
      </c>
      <c r="M10" s="194" t="s">
        <v>886</v>
      </c>
      <c r="N10" s="194" t="s">
        <v>887</v>
      </c>
      <c r="O10" s="150"/>
      <c r="P10" s="150"/>
      <c r="Q10" s="150"/>
      <c r="R10" s="150"/>
      <c r="S10" s="150"/>
      <c r="T10" s="150"/>
      <c r="U10" s="150"/>
      <c r="V10" s="150"/>
      <c r="W10" s="150"/>
      <c r="X10" s="150"/>
      <c r="Y10" s="150"/>
      <c r="Z10" s="100"/>
      <c r="AU10" t="s">
        <v>728</v>
      </c>
      <c r="AV10" t="s">
        <v>85</v>
      </c>
      <c r="AW10" t="s">
        <v>1024</v>
      </c>
      <c r="AX10" t="s">
        <v>1006</v>
      </c>
      <c r="AY10" t="s">
        <v>1025</v>
      </c>
      <c r="AZ10" s="177" t="s">
        <v>1024</v>
      </c>
      <c r="BA10">
        <v>46277.024618055555</v>
      </c>
      <c r="BD10" t="s">
        <v>1026</v>
      </c>
    </row>
    <row r="11" spans="1:57" ht="31.95" customHeight="1">
      <c r="A11" s="198" t="s">
        <v>110</v>
      </c>
      <c r="B11" s="107"/>
      <c r="C11" s="108"/>
      <c r="D11" s="107"/>
      <c r="E11" s="107"/>
      <c r="F11" s="191" t="str">
        <f>SlabUsageLL97(H11,'Imposed Load'!$A$16:$C$68,'Imposed Load'!$A$6:$C$12)</f>
        <v/>
      </c>
      <c r="G11" s="199" t="s">
        <v>204</v>
      </c>
      <c r="H11" s="107"/>
      <c r="I11" s="189" t="str">
        <f t="shared" ref="I11:I20" si="0">SlabStatus66(A11:H11,$A$11:$H$20)</f>
        <v>UNUSED</v>
      </c>
      <c r="J11" s="190" t="str">
        <f t="shared" ref="J11:J20" si="1">IF(I11="OK",24.5*C11/1000,"")</f>
        <v/>
      </c>
      <c r="K11" s="190" t="str">
        <f t="shared" ref="K11:K20" si="2">IF(I11="OK",J11*B11/2,"")</f>
        <v/>
      </c>
      <c r="L11" s="190" t="str">
        <f t="shared" ref="L11:L20" si="3">IF(I11="OK",D11*B11/2,"")</f>
        <v/>
      </c>
      <c r="M11" s="190" t="str">
        <f t="shared" ref="M11:M20" si="4">IF(I11="OK",E11*B11/2,"")</f>
        <v/>
      </c>
      <c r="N11" s="190" t="str">
        <f t="shared" ref="N11:N20" si="5">IF(I11="OK",F11*B11/2,"")</f>
        <v/>
      </c>
      <c r="O11" s="150"/>
      <c r="P11" s="150"/>
      <c r="Q11" s="150"/>
      <c r="R11" s="150"/>
      <c r="S11" s="150"/>
      <c r="T11" s="150"/>
      <c r="U11" s="150"/>
      <c r="V11" s="150"/>
      <c r="W11" s="150"/>
      <c r="X11" s="150"/>
      <c r="Y11" s="150"/>
      <c r="Z11" s="100"/>
      <c r="AM11">
        <v>12</v>
      </c>
      <c r="AN11">
        <v>100</v>
      </c>
      <c r="AO11">
        <v>1</v>
      </c>
      <c r="AP11">
        <v>12</v>
      </c>
      <c r="AQ11">
        <v>200</v>
      </c>
    </row>
    <row r="12" spans="1:57" ht="31.95" customHeight="1">
      <c r="A12" s="198" t="s">
        <v>834</v>
      </c>
      <c r="B12" s="107"/>
      <c r="C12" s="108"/>
      <c r="D12" s="107"/>
      <c r="E12" s="107"/>
      <c r="F12" s="191" t="str">
        <f>SlabUsageLL97(H12,'Imposed Load'!$A$16:$C$68,'Imposed Load'!$A$6:$C$12)</f>
        <v/>
      </c>
      <c r="G12" s="199" t="s">
        <v>204</v>
      </c>
      <c r="H12" s="107"/>
      <c r="I12" s="189" t="str">
        <f t="shared" si="0"/>
        <v>UNUSED</v>
      </c>
      <c r="J12" s="190" t="str">
        <f t="shared" si="1"/>
        <v/>
      </c>
      <c r="K12" s="190" t="str">
        <f t="shared" si="2"/>
        <v/>
      </c>
      <c r="L12" s="190" t="str">
        <f t="shared" si="3"/>
        <v/>
      </c>
      <c r="M12" s="190" t="str">
        <f t="shared" si="4"/>
        <v/>
      </c>
      <c r="N12" s="190" t="str">
        <f t="shared" si="5"/>
        <v/>
      </c>
      <c r="O12" s="150"/>
      <c r="P12" s="150"/>
      <c r="Q12" s="150"/>
      <c r="R12" s="150"/>
      <c r="S12" s="150"/>
      <c r="T12" s="150"/>
      <c r="U12" s="150"/>
      <c r="V12" s="150"/>
      <c r="W12" s="150"/>
      <c r="X12" s="150"/>
      <c r="Y12" s="150"/>
      <c r="Z12" s="100"/>
      <c r="AM12">
        <v>12</v>
      </c>
      <c r="AN12">
        <v>100</v>
      </c>
      <c r="AO12">
        <v>1</v>
      </c>
      <c r="AP12">
        <v>12</v>
      </c>
      <c r="AQ12">
        <v>200</v>
      </c>
    </row>
    <row r="13" spans="1:57" ht="31.95" customHeight="1">
      <c r="A13" s="198" t="s">
        <v>835</v>
      </c>
      <c r="B13" s="107"/>
      <c r="C13" s="108"/>
      <c r="D13" s="107"/>
      <c r="E13" s="107"/>
      <c r="F13" s="191" t="str">
        <f>SlabUsageLL97(H13,'Imposed Load'!$A$16:$C$68,'Imposed Load'!$A$6:$C$12)</f>
        <v/>
      </c>
      <c r="G13" s="199" t="s">
        <v>204</v>
      </c>
      <c r="H13" s="107"/>
      <c r="I13" s="189" t="str">
        <f t="shared" si="0"/>
        <v>UNUSED</v>
      </c>
      <c r="J13" s="190" t="str">
        <f t="shared" si="1"/>
        <v/>
      </c>
      <c r="K13" s="190" t="str">
        <f t="shared" si="2"/>
        <v/>
      </c>
      <c r="L13" s="190" t="str">
        <f t="shared" si="3"/>
        <v/>
      </c>
      <c r="M13" s="190" t="str">
        <f t="shared" si="4"/>
        <v/>
      </c>
      <c r="N13" s="190" t="str">
        <f t="shared" si="5"/>
        <v/>
      </c>
      <c r="O13" s="150"/>
      <c r="P13" s="150"/>
      <c r="Q13" s="150"/>
      <c r="R13" s="150"/>
      <c r="S13" s="150"/>
      <c r="T13" s="150"/>
      <c r="U13" s="150"/>
      <c r="V13" s="150"/>
      <c r="W13" s="150"/>
      <c r="X13" s="150"/>
      <c r="Y13" s="150"/>
      <c r="Z13" s="100"/>
      <c r="AM13">
        <v>12</v>
      </c>
      <c r="AN13">
        <v>100</v>
      </c>
      <c r="AO13">
        <v>1</v>
      </c>
      <c r="AP13">
        <v>12</v>
      </c>
      <c r="AQ13">
        <v>200</v>
      </c>
    </row>
    <row r="14" spans="1:57" ht="31.95" customHeight="1">
      <c r="A14" s="198" t="s">
        <v>836</v>
      </c>
      <c r="B14" s="107"/>
      <c r="C14" s="108"/>
      <c r="D14" s="107"/>
      <c r="E14" s="107"/>
      <c r="F14" s="191" t="str">
        <f>SlabUsageLL97(H14,'Imposed Load'!$A$16:$C$68,'Imposed Load'!$A$6:$C$12)</f>
        <v/>
      </c>
      <c r="G14" s="199" t="s">
        <v>204</v>
      </c>
      <c r="H14" s="107"/>
      <c r="I14" s="189" t="str">
        <f t="shared" si="0"/>
        <v>UNUSED</v>
      </c>
      <c r="J14" s="190" t="str">
        <f t="shared" si="1"/>
        <v/>
      </c>
      <c r="K14" s="190" t="str">
        <f t="shared" si="2"/>
        <v/>
      </c>
      <c r="L14" s="190" t="str">
        <f t="shared" si="3"/>
        <v/>
      </c>
      <c r="M14" s="190" t="str">
        <f t="shared" si="4"/>
        <v/>
      </c>
      <c r="N14" s="190" t="str">
        <f t="shared" si="5"/>
        <v/>
      </c>
      <c r="O14" s="150"/>
      <c r="P14" s="150"/>
      <c r="Q14" s="150"/>
      <c r="R14" s="150"/>
      <c r="S14" s="150"/>
      <c r="T14" s="150"/>
      <c r="U14" s="150"/>
      <c r="V14" s="150"/>
      <c r="W14" s="150"/>
      <c r="X14" s="150"/>
      <c r="Y14" s="150"/>
      <c r="Z14" s="100"/>
      <c r="AM14">
        <v>12</v>
      </c>
      <c r="AN14">
        <v>100</v>
      </c>
      <c r="AO14">
        <v>1</v>
      </c>
      <c r="AP14">
        <v>12</v>
      </c>
      <c r="AQ14">
        <v>200</v>
      </c>
    </row>
    <row r="15" spans="1:57" ht="31.95" customHeight="1">
      <c r="A15" s="198" t="s">
        <v>837</v>
      </c>
      <c r="B15" s="107"/>
      <c r="C15" s="108"/>
      <c r="D15" s="107"/>
      <c r="E15" s="107"/>
      <c r="F15" s="191" t="str">
        <f>SlabUsageLL97(H15,'Imposed Load'!$A$16:$C$68,'Imposed Load'!$A$6:$C$12)</f>
        <v/>
      </c>
      <c r="G15" s="199" t="s">
        <v>204</v>
      </c>
      <c r="H15" s="107"/>
      <c r="I15" s="189" t="str">
        <f t="shared" si="0"/>
        <v>UNUSED</v>
      </c>
      <c r="J15" s="190" t="str">
        <f t="shared" si="1"/>
        <v/>
      </c>
      <c r="K15" s="190" t="str">
        <f t="shared" si="2"/>
        <v/>
      </c>
      <c r="L15" s="190" t="str">
        <f t="shared" si="3"/>
        <v/>
      </c>
      <c r="M15" s="190" t="str">
        <f t="shared" si="4"/>
        <v/>
      </c>
      <c r="N15" s="190" t="str">
        <f t="shared" si="5"/>
        <v/>
      </c>
      <c r="O15" s="150"/>
      <c r="P15" s="150"/>
      <c r="Q15" s="150"/>
      <c r="R15" s="150"/>
      <c r="S15" s="150"/>
      <c r="T15" s="150"/>
      <c r="U15" s="150"/>
      <c r="V15" s="150"/>
      <c r="W15" s="150"/>
      <c r="X15" s="150"/>
      <c r="Y15" s="150"/>
      <c r="Z15" s="100"/>
      <c r="AM15">
        <v>12</v>
      </c>
      <c r="AN15">
        <v>100</v>
      </c>
      <c r="AO15">
        <v>1</v>
      </c>
      <c r="AP15">
        <v>12</v>
      </c>
      <c r="AQ15">
        <v>200</v>
      </c>
    </row>
    <row r="16" spans="1:57" ht="31.95" customHeight="1">
      <c r="A16" s="198" t="s">
        <v>838</v>
      </c>
      <c r="B16" s="107"/>
      <c r="C16" s="108"/>
      <c r="D16" s="107"/>
      <c r="E16" s="107"/>
      <c r="F16" s="191" t="str">
        <f>SlabUsageLL97(H16,'Imposed Load'!$A$16:$C$68,'Imposed Load'!$A$6:$C$12)</f>
        <v/>
      </c>
      <c r="G16" s="199" t="s">
        <v>204</v>
      </c>
      <c r="H16" s="107"/>
      <c r="I16" s="189" t="str">
        <f t="shared" si="0"/>
        <v>UNUSED</v>
      </c>
      <c r="J16" s="190" t="str">
        <f t="shared" si="1"/>
        <v/>
      </c>
      <c r="K16" s="190" t="str">
        <f t="shared" si="2"/>
        <v/>
      </c>
      <c r="L16" s="190" t="str">
        <f t="shared" si="3"/>
        <v/>
      </c>
      <c r="M16" s="190" t="str">
        <f t="shared" si="4"/>
        <v/>
      </c>
      <c r="N16" s="190" t="str">
        <f t="shared" si="5"/>
        <v/>
      </c>
      <c r="O16" s="150"/>
      <c r="P16" s="150"/>
      <c r="Q16" s="150"/>
      <c r="R16" s="150"/>
      <c r="S16" s="150"/>
      <c r="T16" s="150"/>
      <c r="U16" s="150"/>
      <c r="V16" s="150"/>
      <c r="W16" s="150"/>
      <c r="X16" s="150"/>
      <c r="Y16" s="150"/>
      <c r="Z16" s="100"/>
      <c r="AM16">
        <v>12</v>
      </c>
      <c r="AN16">
        <v>100</v>
      </c>
      <c r="AO16">
        <v>1</v>
      </c>
      <c r="AP16">
        <v>12</v>
      </c>
      <c r="AQ16">
        <v>200</v>
      </c>
    </row>
    <row r="17" spans="1:43" ht="31.95" customHeight="1">
      <c r="A17" s="198" t="s">
        <v>839</v>
      </c>
      <c r="B17" s="107"/>
      <c r="C17" s="108"/>
      <c r="D17" s="107"/>
      <c r="E17" s="107"/>
      <c r="F17" s="191" t="str">
        <f>SlabUsageLL97(H17,'Imposed Load'!$A$16:$C$68,'Imposed Load'!$A$6:$C$12)</f>
        <v/>
      </c>
      <c r="G17" s="199" t="s">
        <v>204</v>
      </c>
      <c r="H17" s="107"/>
      <c r="I17" s="189" t="str">
        <f t="shared" si="0"/>
        <v>UNUSED</v>
      </c>
      <c r="J17" s="190" t="str">
        <f t="shared" si="1"/>
        <v/>
      </c>
      <c r="K17" s="190" t="str">
        <f t="shared" si="2"/>
        <v/>
      </c>
      <c r="L17" s="190" t="str">
        <f t="shared" si="3"/>
        <v/>
      </c>
      <c r="M17" s="190" t="str">
        <f t="shared" si="4"/>
        <v/>
      </c>
      <c r="N17" s="190" t="str">
        <f t="shared" si="5"/>
        <v/>
      </c>
      <c r="O17" s="150"/>
      <c r="P17" s="150"/>
      <c r="Q17" s="150"/>
      <c r="R17" s="150"/>
      <c r="S17" s="150"/>
      <c r="T17" s="150"/>
      <c r="U17" s="150"/>
      <c r="V17" s="150"/>
      <c r="W17" s="150"/>
      <c r="X17" s="150"/>
      <c r="Y17" s="150"/>
      <c r="Z17" s="100"/>
      <c r="AM17">
        <v>12</v>
      </c>
      <c r="AN17">
        <v>100</v>
      </c>
      <c r="AO17">
        <v>1</v>
      </c>
      <c r="AP17">
        <v>12</v>
      </c>
      <c r="AQ17">
        <v>200</v>
      </c>
    </row>
    <row r="18" spans="1:43" ht="31.95" customHeight="1">
      <c r="A18" s="198" t="s">
        <v>840</v>
      </c>
      <c r="B18" s="107"/>
      <c r="C18" s="108"/>
      <c r="D18" s="107"/>
      <c r="E18" s="107"/>
      <c r="F18" s="191" t="str">
        <f>SlabUsageLL97(H18,'Imposed Load'!$A$16:$C$68,'Imposed Load'!$A$6:$C$12)</f>
        <v/>
      </c>
      <c r="G18" s="199" t="s">
        <v>204</v>
      </c>
      <c r="H18" s="107"/>
      <c r="I18" s="189" t="str">
        <f t="shared" si="0"/>
        <v>UNUSED</v>
      </c>
      <c r="J18" s="190" t="str">
        <f t="shared" si="1"/>
        <v/>
      </c>
      <c r="K18" s="190" t="str">
        <f t="shared" si="2"/>
        <v/>
      </c>
      <c r="L18" s="190" t="str">
        <f t="shared" si="3"/>
        <v/>
      </c>
      <c r="M18" s="190" t="str">
        <f t="shared" si="4"/>
        <v/>
      </c>
      <c r="N18" s="190" t="str">
        <f t="shared" si="5"/>
        <v/>
      </c>
      <c r="O18" s="150"/>
      <c r="P18" s="150"/>
      <c r="Q18" s="150"/>
      <c r="R18" s="150"/>
      <c r="S18" s="150"/>
      <c r="T18" s="150"/>
      <c r="U18" s="150"/>
      <c r="V18" s="150"/>
      <c r="W18" s="150"/>
      <c r="X18" s="150"/>
      <c r="Y18" s="150"/>
      <c r="Z18" s="100"/>
      <c r="AM18">
        <v>12</v>
      </c>
      <c r="AN18">
        <v>100</v>
      </c>
      <c r="AO18">
        <v>1</v>
      </c>
      <c r="AP18">
        <v>12</v>
      </c>
      <c r="AQ18">
        <v>200</v>
      </c>
    </row>
    <row r="19" spans="1:43" ht="31.95" customHeight="1">
      <c r="A19" s="198" t="s">
        <v>841</v>
      </c>
      <c r="B19" s="107"/>
      <c r="C19" s="108"/>
      <c r="D19" s="107"/>
      <c r="E19" s="107"/>
      <c r="F19" s="191" t="str">
        <f>SlabUsageLL97(H19,'Imposed Load'!$A$16:$C$68,'Imposed Load'!$A$6:$C$12)</f>
        <v/>
      </c>
      <c r="G19" s="199" t="s">
        <v>204</v>
      </c>
      <c r="H19" s="107"/>
      <c r="I19" s="189" t="str">
        <f t="shared" si="0"/>
        <v>UNUSED</v>
      </c>
      <c r="J19" s="190" t="str">
        <f t="shared" si="1"/>
        <v/>
      </c>
      <c r="K19" s="190" t="str">
        <f t="shared" si="2"/>
        <v/>
      </c>
      <c r="L19" s="190" t="str">
        <f t="shared" si="3"/>
        <v/>
      </c>
      <c r="M19" s="190" t="str">
        <f t="shared" si="4"/>
        <v/>
      </c>
      <c r="N19" s="190" t="str">
        <f t="shared" si="5"/>
        <v/>
      </c>
      <c r="O19" s="150"/>
      <c r="P19" s="150"/>
      <c r="Q19" s="150"/>
      <c r="R19" s="150"/>
      <c r="S19" s="150"/>
      <c r="T19" s="150"/>
      <c r="U19" s="150"/>
      <c r="V19" s="150"/>
      <c r="W19" s="150"/>
      <c r="X19" s="150"/>
      <c r="Y19" s="150"/>
      <c r="Z19" s="100"/>
      <c r="AM19">
        <v>12</v>
      </c>
      <c r="AN19">
        <v>100</v>
      </c>
      <c r="AO19">
        <v>1</v>
      </c>
      <c r="AP19">
        <v>12</v>
      </c>
      <c r="AQ19">
        <v>200</v>
      </c>
    </row>
    <row r="20" spans="1:43" ht="31.95" customHeight="1">
      <c r="A20" s="198" t="s">
        <v>842</v>
      </c>
      <c r="B20" s="107"/>
      <c r="C20" s="108"/>
      <c r="D20" s="107"/>
      <c r="E20" s="107"/>
      <c r="F20" s="191" t="str">
        <f>SlabUsageLL97(H20,'Imposed Load'!$A$16:$C$68,'Imposed Load'!$A$6:$C$12)</f>
        <v/>
      </c>
      <c r="G20" s="199" t="s">
        <v>204</v>
      </c>
      <c r="H20" s="107"/>
      <c r="I20" s="189" t="str">
        <f t="shared" si="0"/>
        <v>UNUSED</v>
      </c>
      <c r="J20" s="190" t="str">
        <f t="shared" si="1"/>
        <v/>
      </c>
      <c r="K20" s="190" t="str">
        <f t="shared" si="2"/>
        <v/>
      </c>
      <c r="L20" s="190" t="str">
        <f t="shared" si="3"/>
        <v/>
      </c>
      <c r="M20" s="190" t="str">
        <f t="shared" si="4"/>
        <v/>
      </c>
      <c r="N20" s="190" t="str">
        <f t="shared" si="5"/>
        <v/>
      </c>
      <c r="O20" s="150"/>
      <c r="P20" s="150"/>
      <c r="Q20" s="150"/>
      <c r="R20" s="150"/>
      <c r="S20" s="150"/>
      <c r="T20" s="150"/>
      <c r="U20" s="150"/>
      <c r="V20" s="150"/>
      <c r="W20" s="150"/>
      <c r="X20" s="150"/>
      <c r="Y20" s="150"/>
      <c r="Z20" s="100"/>
      <c r="AM20">
        <v>12</v>
      </c>
      <c r="AN20">
        <v>100</v>
      </c>
      <c r="AO20">
        <v>1</v>
      </c>
      <c r="AP20">
        <v>12</v>
      </c>
      <c r="AQ20">
        <v>200</v>
      </c>
    </row>
    <row r="21" spans="1:43" ht="14.4" customHeight="1">
      <c r="A21" s="195" t="s">
        <v>822</v>
      </c>
      <c r="B21" s="406" t="s">
        <v>823</v>
      </c>
      <c r="C21" s="407"/>
      <c r="D21" s="407"/>
      <c r="E21" s="407"/>
      <c r="F21" s="407"/>
      <c r="G21" s="157"/>
      <c r="H21" s="157"/>
      <c r="I21" s="157"/>
      <c r="J21" s="157"/>
      <c r="K21" s="157"/>
      <c r="L21" s="157"/>
      <c r="M21" s="157"/>
      <c r="N21" s="157"/>
      <c r="O21" s="157"/>
      <c r="P21" s="157"/>
      <c r="Q21" s="157"/>
      <c r="R21" s="157"/>
      <c r="S21" s="157"/>
      <c r="T21" s="150"/>
      <c r="U21" s="150"/>
      <c r="V21" s="150"/>
      <c r="W21" s="150"/>
      <c r="X21" s="150"/>
      <c r="Y21" s="150"/>
      <c r="Z21" s="100"/>
      <c r="AA21" s="100"/>
      <c r="AB21" s="100"/>
      <c r="AC21" s="100"/>
      <c r="AD21" s="100"/>
      <c r="AE21" s="100"/>
      <c r="AF21" s="100"/>
    </row>
    <row r="22" spans="1:43" ht="7.95" customHeight="1">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00"/>
      <c r="AA22" s="100"/>
      <c r="AB22" s="100"/>
      <c r="AC22" s="100"/>
      <c r="AD22" s="100"/>
      <c r="AE22" s="100"/>
      <c r="AF22" s="100"/>
    </row>
    <row r="23" spans="1:43" ht="7.95" customHeight="1">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00"/>
      <c r="AA23" s="100"/>
      <c r="AB23" s="100"/>
      <c r="AC23" s="100"/>
      <c r="AD23" s="100"/>
      <c r="AE23" s="100"/>
      <c r="AF23" s="100"/>
    </row>
    <row r="24" spans="1:43" ht="7.95" customHeight="1">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00"/>
      <c r="AA24" s="100"/>
      <c r="AB24" s="100"/>
      <c r="AC24" s="100"/>
      <c r="AD24" s="100"/>
      <c r="AE24" s="100"/>
      <c r="AF24" s="100"/>
    </row>
    <row r="25" spans="1:43">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00"/>
      <c r="AA25" s="100"/>
      <c r="AB25" s="100"/>
      <c r="AC25" s="100"/>
      <c r="AD25" s="100"/>
      <c r="AE25" s="100"/>
      <c r="AF25" s="100"/>
    </row>
    <row r="26" spans="1:43" ht="24" customHeight="1">
      <c r="A26" s="410" t="s">
        <v>882</v>
      </c>
      <c r="B26" s="410"/>
      <c r="C26" s="410"/>
      <c r="D26" s="410"/>
      <c r="E26" s="410"/>
      <c r="F26" s="410"/>
      <c r="G26" s="410"/>
      <c r="H26" s="110"/>
      <c r="I26" s="110"/>
      <c r="J26" s="110"/>
      <c r="K26" s="110"/>
      <c r="L26" s="110"/>
      <c r="M26" s="110"/>
      <c r="N26" s="110"/>
      <c r="O26" s="110"/>
      <c r="P26" s="110"/>
      <c r="Q26" s="155"/>
      <c r="R26" s="155"/>
      <c r="S26" s="155"/>
      <c r="T26" s="155"/>
      <c r="U26" s="155"/>
      <c r="V26" s="155"/>
      <c r="W26" s="155"/>
      <c r="X26" s="155"/>
      <c r="Y26" s="155"/>
      <c r="Z26" s="99"/>
      <c r="AA26" s="99"/>
      <c r="AB26" s="99"/>
      <c r="AC26" s="99"/>
      <c r="AD26" s="99"/>
      <c r="AE26" s="99"/>
      <c r="AF26" s="99"/>
    </row>
    <row r="27" spans="1:43" ht="16.05" customHeight="1">
      <c r="A27" s="421"/>
      <c r="B27" s="421"/>
      <c r="C27" s="421"/>
      <c r="D27" s="421"/>
      <c r="E27" s="421"/>
      <c r="F27" s="421"/>
      <c r="G27" s="421"/>
      <c r="H27" s="110"/>
      <c r="I27" s="110"/>
      <c r="J27" s="110"/>
      <c r="K27" s="110"/>
      <c r="L27" s="110"/>
      <c r="M27" s="110"/>
      <c r="N27" s="110"/>
      <c r="O27" s="110"/>
      <c r="P27" s="110"/>
      <c r="Q27" s="155"/>
      <c r="R27" s="155"/>
      <c r="S27" s="155"/>
      <c r="T27" s="155"/>
      <c r="U27" s="155"/>
      <c r="V27" s="155"/>
      <c r="W27" s="155"/>
      <c r="X27" s="155"/>
      <c r="Y27" s="155"/>
      <c r="Z27" s="99"/>
      <c r="AA27" s="99"/>
      <c r="AB27" s="99"/>
      <c r="AC27" s="99"/>
      <c r="AD27" s="99"/>
      <c r="AE27" s="99"/>
      <c r="AF27" s="99"/>
    </row>
    <row r="28" spans="1:43" ht="16.05" customHeight="1">
      <c r="A28" s="418" t="s">
        <v>891</v>
      </c>
      <c r="B28" s="419"/>
      <c r="C28" s="419"/>
      <c r="D28" s="419"/>
      <c r="E28" s="419"/>
      <c r="F28" s="419"/>
      <c r="G28" s="419"/>
      <c r="H28" s="154"/>
      <c r="I28" s="154"/>
      <c r="J28" s="154"/>
      <c r="K28" s="154"/>
      <c r="L28" s="154"/>
      <c r="M28" s="154"/>
      <c r="N28" s="154"/>
      <c r="O28" s="154"/>
      <c r="P28" s="154"/>
      <c r="Q28" s="154"/>
      <c r="R28" s="154"/>
      <c r="S28" s="154"/>
      <c r="T28" s="154"/>
      <c r="U28" s="154"/>
      <c r="V28" s="154"/>
      <c r="W28" s="154"/>
      <c r="X28" s="154"/>
      <c r="Y28" s="154"/>
      <c r="Z28" s="102"/>
      <c r="AA28" s="102"/>
      <c r="AB28" s="102"/>
      <c r="AC28" s="102"/>
      <c r="AD28" s="102"/>
      <c r="AE28" s="102"/>
      <c r="AF28" s="102"/>
      <c r="AG28" s="102"/>
      <c r="AH28" s="102"/>
    </row>
    <row r="29" spans="1:43" ht="16.05" customHeight="1">
      <c r="A29" s="420"/>
      <c r="B29" s="420"/>
      <c r="C29" s="420"/>
      <c r="D29" s="420"/>
      <c r="E29" s="420"/>
      <c r="F29" s="420"/>
      <c r="G29" s="420"/>
      <c r="H29" s="156"/>
      <c r="I29" s="156"/>
      <c r="J29" s="156"/>
      <c r="K29" s="156"/>
      <c r="L29" s="156"/>
      <c r="M29" s="156"/>
      <c r="N29" s="156"/>
      <c r="O29" s="156"/>
      <c r="P29" s="156"/>
      <c r="Q29" s="156"/>
      <c r="R29" s="156"/>
      <c r="S29" s="156"/>
      <c r="T29" s="156"/>
      <c r="U29" s="156"/>
      <c r="V29" s="156"/>
      <c r="W29" s="156"/>
      <c r="X29" s="156"/>
      <c r="Y29" s="156"/>
      <c r="Z29" s="103"/>
      <c r="AA29" s="103"/>
      <c r="AB29" s="103"/>
      <c r="AC29" s="103"/>
      <c r="AD29" s="103"/>
      <c r="AE29" s="103"/>
      <c r="AF29" s="103"/>
      <c r="AG29" s="103"/>
      <c r="AH29" s="103"/>
    </row>
    <row r="30" spans="1:43" ht="37.950000000000003" customHeight="1">
      <c r="A30" s="105" t="s">
        <v>795</v>
      </c>
      <c r="B30" s="105" t="s">
        <v>798</v>
      </c>
      <c r="C30" s="105" t="s">
        <v>784</v>
      </c>
      <c r="D30" s="105" t="s">
        <v>785</v>
      </c>
      <c r="E30" s="105" t="s">
        <v>799</v>
      </c>
      <c r="F30" s="105" t="s">
        <v>800</v>
      </c>
      <c r="G30" s="105" t="s">
        <v>719</v>
      </c>
      <c r="H30" s="194" t="s">
        <v>801</v>
      </c>
      <c r="I30" s="194" t="s">
        <v>802</v>
      </c>
      <c r="J30" s="194" t="s">
        <v>803</v>
      </c>
      <c r="K30" s="194" t="s">
        <v>804</v>
      </c>
      <c r="L30" s="194" t="s">
        <v>805</v>
      </c>
      <c r="M30" s="194" t="s">
        <v>806</v>
      </c>
      <c r="N30" s="194" t="s">
        <v>807</v>
      </c>
      <c r="O30" s="194" t="s">
        <v>808</v>
      </c>
      <c r="P30" s="194" t="s">
        <v>809</v>
      </c>
      <c r="Q30" s="194" t="s">
        <v>810</v>
      </c>
      <c r="R30" s="194" t="s">
        <v>811</v>
      </c>
      <c r="S30" s="194" t="s">
        <v>812</v>
      </c>
      <c r="T30" s="194" t="s">
        <v>813</v>
      </c>
      <c r="U30" s="194" t="s">
        <v>793</v>
      </c>
      <c r="V30" s="194" t="s">
        <v>794</v>
      </c>
      <c r="W30" s="194" t="s">
        <v>814</v>
      </c>
      <c r="X30" s="194" t="s">
        <v>815</v>
      </c>
      <c r="Y30" s="194" t="s">
        <v>650</v>
      </c>
      <c r="AH30" s="101" t="s">
        <v>783</v>
      </c>
      <c r="AI30" s="101" t="s">
        <v>796</v>
      </c>
      <c r="AJ30" s="101" t="s">
        <v>797</v>
      </c>
      <c r="AK30" s="101" t="s">
        <v>786</v>
      </c>
    </row>
    <row r="31" spans="1:43" ht="24" customHeight="1">
      <c r="A31" s="198" t="s">
        <v>107</v>
      </c>
      <c r="B31" s="107"/>
      <c r="C31" s="108"/>
      <c r="D31" s="108"/>
      <c r="E31" s="107"/>
      <c r="F31" s="107"/>
      <c r="G31" s="199" t="s">
        <v>204</v>
      </c>
      <c r="H31" s="190" t="str">
        <f t="shared" ref="H31:H50" si="6">IF(E31="None",0,IFERROR(IF(INDEX($B$11:$B$20,MATCH(E31,$A$11:$A$20,0))="","",INDEX($B$11:$B$20,MATCH(E31,$A$11:$A$20,0))),""))</f>
        <v/>
      </c>
      <c r="I31" s="190" t="str">
        <f t="shared" ref="I31:I50" si="7">IF(F31="None",0,IFERROR(IF(INDEX($B$11:$B$20,MATCH(F31,$A$11:$A$20,0))="","",INDEX($B$11:$B$20,MATCH(F31,$A$11:$A$20,0))),""))</f>
        <v/>
      </c>
      <c r="J31" s="190" t="str">
        <f t="shared" ref="J31:J50" si="8">IF(E31="None",0,IFERROR(IF(INDEX($C$11:$C$20,MATCH(E31,$A$11:$A$20,0))="","",INDEX($C$11:$C$20,MATCH(E31,$A$11:$A$20,0))),""))</f>
        <v/>
      </c>
      <c r="K31" s="190" t="str">
        <f t="shared" ref="K31:K50" si="9">IF(F31="None",0,IFERROR(IF(INDEX($C$11:$C$20,MATCH(F31,$A$11:$A$20,0))="","",INDEX($C$11:$C$20,MATCH(F31,$A$11:$A$20,0))),""))</f>
        <v/>
      </c>
      <c r="L31" s="190" t="str">
        <f>IF(W31="OK",SBLine66(1,A31:G31,$A$11:$N$20,$AH$31:$AK$50),"")</f>
        <v/>
      </c>
      <c r="M31" s="190" t="str">
        <f>IF(W31="OK",SBLine66(2,A31:G31,$A$11:$N$20,$AH$31:$AK$50),"")</f>
        <v/>
      </c>
      <c r="N31" s="190" t="str">
        <f>IF(W31="OK",SBLine66(3,A31:G31,$A$11:$N$20,$AH$31:$AK$50),"")</f>
        <v/>
      </c>
      <c r="O31" s="190" t="str">
        <f>IF(W31="OK",SBLine66(4,A31:G31,$A$11:$N$20,$AH$31:$AK$50),"")</f>
        <v/>
      </c>
      <c r="P31" s="190" t="str">
        <f t="shared" ref="P31:P50" si="10">IF(W31="OK",1.4*(L31+M31+N31)+1.6*O31,"")</f>
        <v/>
      </c>
      <c r="Q31" s="190" t="str">
        <f>IF(W31="OK",SBEffect66(3,A31:G31,L31:O31,$AH$31:$AK$50),"")</f>
        <v/>
      </c>
      <c r="R31" s="190" t="str">
        <f>IF(W31="OK",SBEffect66(4,A31:G31,L31:O31,$AH$31:$AK$50),"")</f>
        <v/>
      </c>
      <c r="S31" s="190" t="str">
        <f>IF(W31="OK",SBEffect66(5,A31:G31,L31:O31,$AH$31:$AK$50),"")</f>
        <v/>
      </c>
      <c r="T31" s="190" t="str">
        <f>IF(W31="OK",SBEffect66(6,A31:G31,L31:O31,$AH$31:$AK$50),"")</f>
        <v/>
      </c>
      <c r="U31" s="190" t="str">
        <f>IF(COUNTIF(RCLoadResults73[Member],A31),INDEX(RCLoadResults73[M],MATCH(A31,RCLoadResults73[Member],0)),IF(W31="OK",SBEffect66(1,A31:G31,L31:O31,$AH$31:$AK$50),""))</f>
        <v/>
      </c>
      <c r="V31" s="190" t="str">
        <f>IF(COUNTIF(RCLoadResults73[Member],A31),INDEX(RCLoadResults73[V],MATCH(A31,RCLoadResults73[Member],0)),IF(W31="OK",SBEffect66(2,A31:G31,L31:O31,$AH$31:$AK$50),""))</f>
        <v/>
      </c>
      <c r="W31" s="190" t="str">
        <f>IF(COUNTIF(RCLoadResults73[Member],A31),INDEX(RCLoadResults73[Status],MATCH(A31,RCLoadResults73[Member],0)),SBStatus66(A31:G31,$A$31:$G$50,$A$11:$N$20,$AH$31:$AK$50))</f>
        <v>UNUSED</v>
      </c>
      <c r="X31" s="190" t="str">
        <f t="shared" ref="X31:X50" si="11">SBTransfer66(A31:G31,W31,$A$61:$E$80,$AH$31:$AK$50)</f>
        <v>UNUSED</v>
      </c>
      <c r="Y31" s="190" t="str">
        <f>IF(NOT(InputRowUsed73(A31:G31,"SB")),"",IF($F$4="","ENTER FIRE HOURS",IF(COUNTIF('Section B Concrete Cover'!$B$6:$D$6,$F$4)&lt;&gt;1,"CHECK FIRE HOURS",IF(G31&lt;&gt;"Simply-supported","CHECK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1" s="196" t="str">
        <f t="shared" ref="AH31:AH50" si="12">IF(COUNTIF($H$61:$H$80,A31)=1,IF(INDEX($G$61:$G$80,MATCH(A31,$H$61:$H$80,0))="","",INDEX($G$61:$G$80,MATCH(A31,$H$61:$H$80,0))),IF(COUNTIF($H$61:$H$80,A31)&gt;1,"MULTIPLE POSITIONS - SEE CONNECTION TABLE",""))</f>
        <v/>
      </c>
      <c r="AI31" s="196" t="str">
        <f t="shared" ref="AI31:AI50" si="13">IF(COUNTIF($H$61:$H$80,A31)=1,IF(INDEX($I$61:$I$80,MATCH(A31,$H$61:$H$80,0))="","",INDEX($I$61:$I$80,MATCH(A31,$H$61:$H$80,0))),IF(COUNTIF($H$61:$H$80,A31)&gt;1,"MULTIPLE POSITIONS - SEE CONNECTION TABLE",""))</f>
        <v/>
      </c>
      <c r="AJ31" s="196" t="str">
        <f t="shared" ref="AJ31:AJ50" si="14">IF(COUNTIF($H$61:$H$80,A31)=1,IF(INDEX($J$61:$J$80,MATCH(A31,$H$61:$H$80,0))="","",INDEX($J$61:$J$80,MATCH(A31,$H$61:$H$80,0))),IF(COUNTIF($H$61:$H$80,A31)&gt;1,"MULTIPLE POSITIONS - SEE CONNECTION TABLE",""))</f>
        <v/>
      </c>
      <c r="AK31" s="197" t="str">
        <f t="shared" ref="AK31:AK50" si="15">IF($C$4="","",$C$4)</f>
        <v/>
      </c>
    </row>
    <row r="32" spans="1:43" ht="24" customHeight="1">
      <c r="A32" s="198" t="s">
        <v>843</v>
      </c>
      <c r="B32" s="107"/>
      <c r="C32" s="108"/>
      <c r="D32" s="108"/>
      <c r="E32" s="107"/>
      <c r="F32" s="107"/>
      <c r="G32" s="199" t="s">
        <v>204</v>
      </c>
      <c r="H32" s="190" t="str">
        <f t="shared" si="6"/>
        <v/>
      </c>
      <c r="I32" s="190" t="str">
        <f t="shared" si="7"/>
        <v/>
      </c>
      <c r="J32" s="190" t="str">
        <f t="shared" si="8"/>
        <v/>
      </c>
      <c r="K32" s="190" t="str">
        <f t="shared" si="9"/>
        <v/>
      </c>
      <c r="L32" s="190" t="str">
        <f>IF(W32="OK",SBLine66(1,A32:G32,$A$11:$N$20,$AH$31:$AK$50),"")</f>
        <v/>
      </c>
      <c r="M32" s="190" t="str">
        <f>IF(W32="OK",SBLine66(2,A32:G32,$A$11:$N$20,$AH$31:$AK$50),"")</f>
        <v/>
      </c>
      <c r="N32" s="190" t="str">
        <f>IF(W32="OK",SBLine66(3,A32:G32,$A$11:$N$20,$AH$31:$AK$50),"")</f>
        <v/>
      </c>
      <c r="O32" s="190" t="str">
        <f>IF(W32="OK",SBLine66(4,A32:G32,$A$11:$N$20,$AH$31:$AK$50),"")</f>
        <v/>
      </c>
      <c r="P32" s="190" t="str">
        <f t="shared" si="10"/>
        <v/>
      </c>
      <c r="Q32" s="190" t="str">
        <f>IF(W32="OK",SBEffect66(3,A32:G32,L32:O32,$AH$31:$AK$50),"")</f>
        <v/>
      </c>
      <c r="R32" s="190" t="str">
        <f>IF(W32="OK",SBEffect66(4,A32:G32,L32:O32,$AH$31:$AK$50),"")</f>
        <v/>
      </c>
      <c r="S32" s="190" t="str">
        <f>IF(W32="OK",SBEffect66(5,A32:G32,L32:O32,$AH$31:$AK$50),"")</f>
        <v/>
      </c>
      <c r="T32" s="190" t="str">
        <f>IF(W32="OK",SBEffect66(6,A32:G32,L32:O32,$AH$31:$AK$50),"")</f>
        <v/>
      </c>
      <c r="U32" s="190" t="str">
        <f>IF(COUNTIF(RCLoadResults73[Member],A32),INDEX(RCLoadResults73[M],MATCH(A32,RCLoadResults73[Member],0)),IF(W32="OK",SBEffect66(1,A32:G32,L32:O32,$AH$31:$AK$50),""))</f>
        <v/>
      </c>
      <c r="V32" s="190" t="str">
        <f>IF(COUNTIF(RCLoadResults73[Member],A32),INDEX(RCLoadResults73[V],MATCH(A32,RCLoadResults73[Member],0)),IF(W32="OK",SBEffect66(2,A32:G32,L32:O32,$AH$31:$AK$50),""))</f>
        <v/>
      </c>
      <c r="W32" s="190" t="str">
        <f>IF(COUNTIF(RCLoadResults73[Member],A32),INDEX(RCLoadResults73[Status],MATCH(A32,RCLoadResults73[Member],0)),SBStatus66(A32:G32,$A$31:$G$50,$A$11:$N$20,$AH$31:$AK$50))</f>
        <v>UNUSED</v>
      </c>
      <c r="X32" s="190" t="str">
        <f t="shared" si="11"/>
        <v>UNUSED</v>
      </c>
      <c r="Y32" s="190" t="str">
        <f>IF(NOT(InputRowUsed73(A32:G32,"SB")),"",IF($F$4="","ENTER FIRE HOURS",IF(COUNTIF('Section B Concrete Cover'!$B$6:$D$6,$F$4)&lt;&gt;1,"CHECK FIRE HOURS",IF(G32&lt;&gt;"Simply-supported","CHECK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2" s="196" t="str">
        <f t="shared" si="12"/>
        <v/>
      </c>
      <c r="AI32" s="196" t="str">
        <f t="shared" si="13"/>
        <v/>
      </c>
      <c r="AJ32" s="196" t="str">
        <f t="shared" si="14"/>
        <v/>
      </c>
      <c r="AK32" s="197" t="str">
        <f t="shared" si="15"/>
        <v/>
      </c>
    </row>
    <row r="33" spans="1:37" ht="24" customHeight="1">
      <c r="A33" s="198" t="s">
        <v>844</v>
      </c>
      <c r="B33" s="107"/>
      <c r="C33" s="108"/>
      <c r="D33" s="108"/>
      <c r="E33" s="107"/>
      <c r="F33" s="107"/>
      <c r="G33" s="199" t="s">
        <v>204</v>
      </c>
      <c r="H33" s="190" t="str">
        <f t="shared" si="6"/>
        <v/>
      </c>
      <c r="I33" s="190" t="str">
        <f t="shared" si="7"/>
        <v/>
      </c>
      <c r="J33" s="190" t="str">
        <f t="shared" si="8"/>
        <v/>
      </c>
      <c r="K33" s="190" t="str">
        <f t="shared" si="9"/>
        <v/>
      </c>
      <c r="L33" s="190" t="str">
        <f>IF(W33="OK",SBLine66(1,A33:G33,$A$11:$N$20,$AH$31:$AK$50),"")</f>
        <v/>
      </c>
      <c r="M33" s="190" t="str">
        <f>IF(W33="OK",SBLine66(2,A33:G33,$A$11:$N$20,$AH$31:$AK$50),"")</f>
        <v/>
      </c>
      <c r="N33" s="190" t="str">
        <f>IF(W33="OK",SBLine66(3,A33:G33,$A$11:$N$20,$AH$31:$AK$50),"")</f>
        <v/>
      </c>
      <c r="O33" s="190" t="str">
        <f>IF(W33="OK",SBLine66(4,A33:G33,$A$11:$N$20,$AH$31:$AK$50),"")</f>
        <v/>
      </c>
      <c r="P33" s="190" t="str">
        <f t="shared" si="10"/>
        <v/>
      </c>
      <c r="Q33" s="190" t="str">
        <f>IF(W33="OK",SBEffect66(3,A33:G33,L33:O33,$AH$31:$AK$50),"")</f>
        <v/>
      </c>
      <c r="R33" s="190" t="str">
        <f>IF(W33="OK",SBEffect66(4,A33:G33,L33:O33,$AH$31:$AK$50),"")</f>
        <v/>
      </c>
      <c r="S33" s="190" t="str">
        <f>IF(W33="OK",SBEffect66(5,A33:G33,L33:O33,$AH$31:$AK$50),"")</f>
        <v/>
      </c>
      <c r="T33" s="190" t="str">
        <f>IF(W33="OK",SBEffect66(6,A33:G33,L33:O33,$AH$31:$AK$50),"")</f>
        <v/>
      </c>
      <c r="U33" s="190" t="str">
        <f>IF(COUNTIF(RCLoadResults73[Member],A33),INDEX(RCLoadResults73[M],MATCH(A33,RCLoadResults73[Member],0)),IF(W33="OK",SBEffect66(1,A33:G33,L33:O33,$AH$31:$AK$50),""))</f>
        <v/>
      </c>
      <c r="V33" s="190" t="str">
        <f>IF(COUNTIF(RCLoadResults73[Member],A33),INDEX(RCLoadResults73[V],MATCH(A33,RCLoadResults73[Member],0)),IF(W33="OK",SBEffect66(2,A33:G33,L33:O33,$AH$31:$AK$50),""))</f>
        <v/>
      </c>
      <c r="W33" s="190" t="str">
        <f>IF(COUNTIF(RCLoadResults73[Member],A33),INDEX(RCLoadResults73[Status],MATCH(A33,RCLoadResults73[Member],0)),SBStatus66(A33:G33,$A$31:$G$50,$A$11:$N$20,$AH$31:$AK$50))</f>
        <v>UNUSED</v>
      </c>
      <c r="X33" s="190" t="str">
        <f t="shared" si="11"/>
        <v>UNUSED</v>
      </c>
      <c r="Y33" s="190" t="str">
        <f>IF(NOT(InputRowUsed73(A33:G33,"SB")),"",IF($F$4="","ENTER FIRE HOURS",IF(COUNTIF('Section B Concrete Cover'!$B$6:$D$6,$F$4)&lt;&gt;1,"CHECK FIRE HOURS",IF(G33&lt;&gt;"Simply-supported","CHECK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3" s="196" t="str">
        <f t="shared" si="12"/>
        <v/>
      </c>
      <c r="AI33" s="196" t="str">
        <f t="shared" si="13"/>
        <v/>
      </c>
      <c r="AJ33" s="196" t="str">
        <f t="shared" si="14"/>
        <v/>
      </c>
      <c r="AK33" s="197" t="str">
        <f t="shared" si="15"/>
        <v/>
      </c>
    </row>
    <row r="34" spans="1:37" ht="24" customHeight="1">
      <c r="A34" s="198" t="s">
        <v>845</v>
      </c>
      <c r="B34" s="107"/>
      <c r="C34" s="108"/>
      <c r="D34" s="108"/>
      <c r="E34" s="107"/>
      <c r="F34" s="107"/>
      <c r="G34" s="199" t="s">
        <v>204</v>
      </c>
      <c r="H34" s="190" t="str">
        <f t="shared" si="6"/>
        <v/>
      </c>
      <c r="I34" s="190" t="str">
        <f t="shared" si="7"/>
        <v/>
      </c>
      <c r="J34" s="190" t="str">
        <f t="shared" si="8"/>
        <v/>
      </c>
      <c r="K34" s="190" t="str">
        <f t="shared" si="9"/>
        <v/>
      </c>
      <c r="L34" s="190" t="str">
        <f>IF(W34="OK",SBLine66(1,A34:G34,$A$11:$N$20,$AH$31:$AK$50),"")</f>
        <v/>
      </c>
      <c r="M34" s="190" t="str">
        <f>IF(W34="OK",SBLine66(2,A34:G34,$A$11:$N$20,$AH$31:$AK$50),"")</f>
        <v/>
      </c>
      <c r="N34" s="190" t="str">
        <f>IF(W34="OK",SBLine66(3,A34:G34,$A$11:$N$20,$AH$31:$AK$50),"")</f>
        <v/>
      </c>
      <c r="O34" s="190" t="str">
        <f>IF(W34="OK",SBLine66(4,A34:G34,$A$11:$N$20,$AH$31:$AK$50),"")</f>
        <v/>
      </c>
      <c r="P34" s="190" t="str">
        <f t="shared" si="10"/>
        <v/>
      </c>
      <c r="Q34" s="190" t="str">
        <f>IF(W34="OK",SBEffect66(3,A34:G34,L34:O34,$AH$31:$AK$50),"")</f>
        <v/>
      </c>
      <c r="R34" s="190" t="str">
        <f>IF(W34="OK",SBEffect66(4,A34:G34,L34:O34,$AH$31:$AK$50),"")</f>
        <v/>
      </c>
      <c r="S34" s="190" t="str">
        <f>IF(W34="OK",SBEffect66(5,A34:G34,L34:O34,$AH$31:$AK$50),"")</f>
        <v/>
      </c>
      <c r="T34" s="190" t="str">
        <f>IF(W34="OK",SBEffect66(6,A34:G34,L34:O34,$AH$31:$AK$50),"")</f>
        <v/>
      </c>
      <c r="U34" s="190" t="str">
        <f>IF(COUNTIF(RCLoadResults73[Member],A34),INDEX(RCLoadResults73[M],MATCH(A34,RCLoadResults73[Member],0)),IF(W34="OK",SBEffect66(1,A34:G34,L34:O34,$AH$31:$AK$50),""))</f>
        <v/>
      </c>
      <c r="V34" s="190" t="str">
        <f>IF(COUNTIF(RCLoadResults73[Member],A34),INDEX(RCLoadResults73[V],MATCH(A34,RCLoadResults73[Member],0)),IF(W34="OK",SBEffect66(2,A34:G34,L34:O34,$AH$31:$AK$50),""))</f>
        <v/>
      </c>
      <c r="W34" s="190" t="str">
        <f>IF(COUNTIF(RCLoadResults73[Member],A34),INDEX(RCLoadResults73[Status],MATCH(A34,RCLoadResults73[Member],0)),SBStatus66(A34:G34,$A$31:$G$50,$A$11:$N$20,$AH$31:$AK$50))</f>
        <v>UNUSED</v>
      </c>
      <c r="X34" s="190" t="str">
        <f t="shared" si="11"/>
        <v>UNUSED</v>
      </c>
      <c r="Y34" s="190" t="str">
        <f>IF(NOT(InputRowUsed73(A34:G34,"SB")),"",IF($F$4="","ENTER FIRE HOURS",IF(COUNTIF('Section B Concrete Cover'!$B$6:$D$6,$F$4)&lt;&gt;1,"CHECK FIRE HOURS",IF(G34&lt;&gt;"Simply-supported","CHECK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4" s="196" t="str">
        <f t="shared" si="12"/>
        <v/>
      </c>
      <c r="AI34" s="196" t="str">
        <f t="shared" si="13"/>
        <v/>
      </c>
      <c r="AJ34" s="196" t="str">
        <f t="shared" si="14"/>
        <v/>
      </c>
      <c r="AK34" s="197" t="str">
        <f t="shared" si="15"/>
        <v/>
      </c>
    </row>
    <row r="35" spans="1:37" ht="24" customHeight="1">
      <c r="A35" s="198" t="s">
        <v>846</v>
      </c>
      <c r="B35" s="107"/>
      <c r="C35" s="108"/>
      <c r="D35" s="108"/>
      <c r="E35" s="107"/>
      <c r="F35" s="107"/>
      <c r="G35" s="199" t="s">
        <v>204</v>
      </c>
      <c r="H35" s="190" t="str">
        <f t="shared" si="6"/>
        <v/>
      </c>
      <c r="I35" s="190" t="str">
        <f t="shared" si="7"/>
        <v/>
      </c>
      <c r="J35" s="190" t="str">
        <f t="shared" si="8"/>
        <v/>
      </c>
      <c r="K35" s="190" t="str">
        <f t="shared" si="9"/>
        <v/>
      </c>
      <c r="L35" s="190" t="str">
        <f>IF(W35="OK",SBLine66(1,A35:G35,$A$11:$N$20,$AH$31:$AK$50),"")</f>
        <v/>
      </c>
      <c r="M35" s="190" t="str">
        <f>IF(W35="OK",SBLine66(2,A35:G35,$A$11:$N$20,$AH$31:$AK$50),"")</f>
        <v/>
      </c>
      <c r="N35" s="190" t="str">
        <f>IF(W35="OK",SBLine66(3,A35:G35,$A$11:$N$20,$AH$31:$AK$50),"")</f>
        <v/>
      </c>
      <c r="O35" s="190" t="str">
        <f>IF(W35="OK",SBLine66(4,A35:G35,$A$11:$N$20,$AH$31:$AK$50),"")</f>
        <v/>
      </c>
      <c r="P35" s="190" t="str">
        <f t="shared" si="10"/>
        <v/>
      </c>
      <c r="Q35" s="190" t="str">
        <f>IF(W35="OK",SBEffect66(3,A35:G35,L35:O35,$AH$31:$AK$50),"")</f>
        <v/>
      </c>
      <c r="R35" s="190" t="str">
        <f>IF(W35="OK",SBEffect66(4,A35:G35,L35:O35,$AH$31:$AK$50),"")</f>
        <v/>
      </c>
      <c r="S35" s="190" t="str">
        <f>IF(W35="OK",SBEffect66(5,A35:G35,L35:O35,$AH$31:$AK$50),"")</f>
        <v/>
      </c>
      <c r="T35" s="190" t="str">
        <f>IF(W35="OK",SBEffect66(6,A35:G35,L35:O35,$AH$31:$AK$50),"")</f>
        <v/>
      </c>
      <c r="U35" s="190" t="str">
        <f>IF(COUNTIF(RCLoadResults73[Member],A35),INDEX(RCLoadResults73[M],MATCH(A35,RCLoadResults73[Member],0)),IF(W35="OK",SBEffect66(1,A35:G35,L35:O35,$AH$31:$AK$50),""))</f>
        <v/>
      </c>
      <c r="V35" s="190" t="str">
        <f>IF(COUNTIF(RCLoadResults73[Member],A35),INDEX(RCLoadResults73[V],MATCH(A35,RCLoadResults73[Member],0)),IF(W35="OK",SBEffect66(2,A35:G35,L35:O35,$AH$31:$AK$50),""))</f>
        <v/>
      </c>
      <c r="W35" s="190" t="str">
        <f>IF(COUNTIF(RCLoadResults73[Member],A35),INDEX(RCLoadResults73[Status],MATCH(A35,RCLoadResults73[Member],0)),SBStatus66(A35:G35,$A$31:$G$50,$A$11:$N$20,$AH$31:$AK$50))</f>
        <v>UNUSED</v>
      </c>
      <c r="X35" s="190" t="str">
        <f t="shared" si="11"/>
        <v>UNUSED</v>
      </c>
      <c r="Y35" s="190" t="str">
        <f>IF(NOT(InputRowUsed73(A35:G35,"SB")),"",IF($F$4="","ENTER FIRE HOURS",IF(COUNTIF('Section B Concrete Cover'!$B$6:$D$6,$F$4)&lt;&gt;1,"CHECK FIRE HOURS",IF(G35&lt;&gt;"Simply-supported","CHECK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5" s="196" t="str">
        <f t="shared" si="12"/>
        <v/>
      </c>
      <c r="AI35" s="196" t="str">
        <f t="shared" si="13"/>
        <v/>
      </c>
      <c r="AJ35" s="196" t="str">
        <f t="shared" si="14"/>
        <v/>
      </c>
      <c r="AK35" s="197" t="str">
        <f t="shared" si="15"/>
        <v/>
      </c>
    </row>
    <row r="36" spans="1:37" ht="24" customHeight="1">
      <c r="A36" s="198" t="s">
        <v>847</v>
      </c>
      <c r="B36" s="107"/>
      <c r="C36" s="108"/>
      <c r="D36" s="108"/>
      <c r="E36" s="107"/>
      <c r="F36" s="107"/>
      <c r="G36" s="199" t="s">
        <v>204</v>
      </c>
      <c r="H36" s="190" t="str">
        <f t="shared" si="6"/>
        <v/>
      </c>
      <c r="I36" s="190" t="str">
        <f t="shared" si="7"/>
        <v/>
      </c>
      <c r="J36" s="190" t="str">
        <f t="shared" si="8"/>
        <v/>
      </c>
      <c r="K36" s="190" t="str">
        <f t="shared" si="9"/>
        <v/>
      </c>
      <c r="L36" s="190" t="str">
        <f>IF(W36="OK",SBLine66(1,A36:G36,$A$11:$N$20,$AH$31:$AK$50),"")</f>
        <v/>
      </c>
      <c r="M36" s="190" t="str">
        <f>IF(W36="OK",SBLine66(2,A36:G36,$A$11:$N$20,$AH$31:$AK$50),"")</f>
        <v/>
      </c>
      <c r="N36" s="190" t="str">
        <f>IF(W36="OK",SBLine66(3,A36:G36,$A$11:$N$20,$AH$31:$AK$50),"")</f>
        <v/>
      </c>
      <c r="O36" s="190" t="str">
        <f>IF(W36="OK",SBLine66(4,A36:G36,$A$11:$N$20,$AH$31:$AK$50),"")</f>
        <v/>
      </c>
      <c r="P36" s="190" t="str">
        <f t="shared" si="10"/>
        <v/>
      </c>
      <c r="Q36" s="190" t="str">
        <f>IF(W36="OK",SBEffect66(3,A36:G36,L36:O36,$AH$31:$AK$50),"")</f>
        <v/>
      </c>
      <c r="R36" s="190" t="str">
        <f>IF(W36="OK",SBEffect66(4,A36:G36,L36:O36,$AH$31:$AK$50),"")</f>
        <v/>
      </c>
      <c r="S36" s="190" t="str">
        <f>IF(W36="OK",SBEffect66(5,A36:G36,L36:O36,$AH$31:$AK$50),"")</f>
        <v/>
      </c>
      <c r="T36" s="190" t="str">
        <f>IF(W36="OK",SBEffect66(6,A36:G36,L36:O36,$AH$31:$AK$50),"")</f>
        <v/>
      </c>
      <c r="U36" s="190" t="str">
        <f>IF(COUNTIF(RCLoadResults73[Member],A36),INDEX(RCLoadResults73[M],MATCH(A36,RCLoadResults73[Member],0)),IF(W36="OK",SBEffect66(1,A36:G36,L36:O36,$AH$31:$AK$50),""))</f>
        <v/>
      </c>
      <c r="V36" s="190" t="str">
        <f>IF(COUNTIF(RCLoadResults73[Member],A36),INDEX(RCLoadResults73[V],MATCH(A36,RCLoadResults73[Member],0)),IF(W36="OK",SBEffect66(2,A36:G36,L36:O36,$AH$31:$AK$50),""))</f>
        <v/>
      </c>
      <c r="W36" s="190" t="str">
        <f>IF(COUNTIF(RCLoadResults73[Member],A36),INDEX(RCLoadResults73[Status],MATCH(A36,RCLoadResults73[Member],0)),SBStatus66(A36:G36,$A$31:$G$50,$A$11:$N$20,$AH$31:$AK$50))</f>
        <v>UNUSED</v>
      </c>
      <c r="X36" s="190" t="str">
        <f t="shared" si="11"/>
        <v>UNUSED</v>
      </c>
      <c r="Y36" s="190" t="str">
        <f>IF(NOT(InputRowUsed73(A36:G36,"SB")),"",IF($F$4="","ENTER FIRE HOURS",IF(COUNTIF('Section B Concrete Cover'!$B$6:$D$6,$F$4)&lt;&gt;1,"CHECK FIRE HOURS",IF(G36&lt;&gt;"Simply-supported","CHECK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6" s="196" t="str">
        <f t="shared" si="12"/>
        <v/>
      </c>
      <c r="AI36" s="196" t="str">
        <f t="shared" si="13"/>
        <v/>
      </c>
      <c r="AJ36" s="196" t="str">
        <f t="shared" si="14"/>
        <v/>
      </c>
      <c r="AK36" s="197" t="str">
        <f t="shared" si="15"/>
        <v/>
      </c>
    </row>
    <row r="37" spans="1:37" ht="24" customHeight="1">
      <c r="A37" s="198" t="s">
        <v>848</v>
      </c>
      <c r="B37" s="107"/>
      <c r="C37" s="108"/>
      <c r="D37" s="108"/>
      <c r="E37" s="107"/>
      <c r="F37" s="107"/>
      <c r="G37" s="199" t="s">
        <v>204</v>
      </c>
      <c r="H37" s="190" t="str">
        <f t="shared" si="6"/>
        <v/>
      </c>
      <c r="I37" s="190" t="str">
        <f t="shared" si="7"/>
        <v/>
      </c>
      <c r="J37" s="190" t="str">
        <f t="shared" si="8"/>
        <v/>
      </c>
      <c r="K37" s="190" t="str">
        <f t="shared" si="9"/>
        <v/>
      </c>
      <c r="L37" s="190" t="str">
        <f>IF(W37="OK",SBLine66(1,A37:G37,$A$11:$N$20,$AH$31:$AK$50),"")</f>
        <v/>
      </c>
      <c r="M37" s="190" t="str">
        <f>IF(W37="OK",SBLine66(2,A37:G37,$A$11:$N$20,$AH$31:$AK$50),"")</f>
        <v/>
      </c>
      <c r="N37" s="190" t="str">
        <f>IF(W37="OK",SBLine66(3,A37:G37,$A$11:$N$20,$AH$31:$AK$50),"")</f>
        <v/>
      </c>
      <c r="O37" s="190" t="str">
        <f>IF(W37="OK",SBLine66(4,A37:G37,$A$11:$N$20,$AH$31:$AK$50),"")</f>
        <v/>
      </c>
      <c r="P37" s="190" t="str">
        <f t="shared" si="10"/>
        <v/>
      </c>
      <c r="Q37" s="190" t="str">
        <f>IF(W37="OK",SBEffect66(3,A37:G37,L37:O37,$AH$31:$AK$50),"")</f>
        <v/>
      </c>
      <c r="R37" s="190" t="str">
        <f>IF(W37="OK",SBEffect66(4,A37:G37,L37:O37,$AH$31:$AK$50),"")</f>
        <v/>
      </c>
      <c r="S37" s="190" t="str">
        <f>IF(W37="OK",SBEffect66(5,A37:G37,L37:O37,$AH$31:$AK$50),"")</f>
        <v/>
      </c>
      <c r="T37" s="190" t="str">
        <f>IF(W37="OK",SBEffect66(6,A37:G37,L37:O37,$AH$31:$AK$50),"")</f>
        <v/>
      </c>
      <c r="U37" s="190" t="str">
        <f>IF(COUNTIF(RCLoadResults73[Member],A37),INDEX(RCLoadResults73[M],MATCH(A37,RCLoadResults73[Member],0)),IF(W37="OK",SBEffect66(1,A37:G37,L37:O37,$AH$31:$AK$50),""))</f>
        <v/>
      </c>
      <c r="V37" s="190" t="str">
        <f>IF(COUNTIF(RCLoadResults73[Member],A37),INDEX(RCLoadResults73[V],MATCH(A37,RCLoadResults73[Member],0)),IF(W37="OK",SBEffect66(2,A37:G37,L37:O37,$AH$31:$AK$50),""))</f>
        <v/>
      </c>
      <c r="W37" s="190" t="str">
        <f>IF(COUNTIF(RCLoadResults73[Member],A37),INDEX(RCLoadResults73[Status],MATCH(A37,RCLoadResults73[Member],0)),SBStatus66(A37:G37,$A$31:$G$50,$A$11:$N$20,$AH$31:$AK$50))</f>
        <v>UNUSED</v>
      </c>
      <c r="X37" s="190" t="str">
        <f t="shared" si="11"/>
        <v>UNUSED</v>
      </c>
      <c r="Y37" s="190" t="str">
        <f>IF(NOT(InputRowUsed73(A37:G37,"SB")),"",IF($F$4="","ENTER FIRE HOURS",IF(COUNTIF('Section B Concrete Cover'!$B$6:$D$6,$F$4)&lt;&gt;1,"CHECK FIRE HOURS",IF(G37&lt;&gt;"Simply-supported","CHECK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7" s="196" t="str">
        <f t="shared" si="12"/>
        <v/>
      </c>
      <c r="AI37" s="196" t="str">
        <f t="shared" si="13"/>
        <v/>
      </c>
      <c r="AJ37" s="196" t="str">
        <f t="shared" si="14"/>
        <v/>
      </c>
      <c r="AK37" s="197" t="str">
        <f t="shared" si="15"/>
        <v/>
      </c>
    </row>
    <row r="38" spans="1:37" ht="24" customHeight="1">
      <c r="A38" s="198" t="s">
        <v>849</v>
      </c>
      <c r="B38" s="107"/>
      <c r="C38" s="108"/>
      <c r="D38" s="108"/>
      <c r="E38" s="107"/>
      <c r="F38" s="107"/>
      <c r="G38" s="199" t="s">
        <v>204</v>
      </c>
      <c r="H38" s="190" t="str">
        <f t="shared" si="6"/>
        <v/>
      </c>
      <c r="I38" s="190" t="str">
        <f t="shared" si="7"/>
        <v/>
      </c>
      <c r="J38" s="190" t="str">
        <f t="shared" si="8"/>
        <v/>
      </c>
      <c r="K38" s="190" t="str">
        <f t="shared" si="9"/>
        <v/>
      </c>
      <c r="L38" s="190" t="str">
        <f>IF(W38="OK",SBLine66(1,A38:G38,$A$11:$N$20,$AH$31:$AK$50),"")</f>
        <v/>
      </c>
      <c r="M38" s="190" t="str">
        <f>IF(W38="OK",SBLine66(2,A38:G38,$A$11:$N$20,$AH$31:$AK$50),"")</f>
        <v/>
      </c>
      <c r="N38" s="190" t="str">
        <f>IF(W38="OK",SBLine66(3,A38:G38,$A$11:$N$20,$AH$31:$AK$50),"")</f>
        <v/>
      </c>
      <c r="O38" s="190" t="str">
        <f>IF(W38="OK",SBLine66(4,A38:G38,$A$11:$N$20,$AH$31:$AK$50),"")</f>
        <v/>
      </c>
      <c r="P38" s="190" t="str">
        <f t="shared" si="10"/>
        <v/>
      </c>
      <c r="Q38" s="190" t="str">
        <f>IF(W38="OK",SBEffect66(3,A38:G38,L38:O38,$AH$31:$AK$50),"")</f>
        <v/>
      </c>
      <c r="R38" s="190" t="str">
        <f>IF(W38="OK",SBEffect66(4,A38:G38,L38:O38,$AH$31:$AK$50),"")</f>
        <v/>
      </c>
      <c r="S38" s="190" t="str">
        <f>IF(W38="OK",SBEffect66(5,A38:G38,L38:O38,$AH$31:$AK$50),"")</f>
        <v/>
      </c>
      <c r="T38" s="190" t="str">
        <f>IF(W38="OK",SBEffect66(6,A38:G38,L38:O38,$AH$31:$AK$50),"")</f>
        <v/>
      </c>
      <c r="U38" s="190" t="str">
        <f>IF(COUNTIF(RCLoadResults73[Member],A38),INDEX(RCLoadResults73[M],MATCH(A38,RCLoadResults73[Member],0)),IF(W38="OK",SBEffect66(1,A38:G38,L38:O38,$AH$31:$AK$50),""))</f>
        <v/>
      </c>
      <c r="V38" s="190" t="str">
        <f>IF(COUNTIF(RCLoadResults73[Member],A38),INDEX(RCLoadResults73[V],MATCH(A38,RCLoadResults73[Member],0)),IF(W38="OK",SBEffect66(2,A38:G38,L38:O38,$AH$31:$AK$50),""))</f>
        <v/>
      </c>
      <c r="W38" s="190" t="str">
        <f>IF(COUNTIF(RCLoadResults73[Member],A38),INDEX(RCLoadResults73[Status],MATCH(A38,RCLoadResults73[Member],0)),SBStatus66(A38:G38,$A$31:$G$50,$A$11:$N$20,$AH$31:$AK$50))</f>
        <v>UNUSED</v>
      </c>
      <c r="X38" s="190" t="str">
        <f t="shared" si="11"/>
        <v>UNUSED</v>
      </c>
      <c r="Y38" s="190" t="str">
        <f>IF(NOT(InputRowUsed73(A38:G38,"SB")),"",IF($F$4="","ENTER FIRE HOURS",IF(COUNTIF('Section B Concrete Cover'!$B$6:$D$6,$F$4)&lt;&gt;1,"CHECK FIRE HOURS",IF(G38&lt;&gt;"Simply-supported","CHECK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8" s="196" t="str">
        <f t="shared" si="12"/>
        <v/>
      </c>
      <c r="AI38" s="196" t="str">
        <f t="shared" si="13"/>
        <v/>
      </c>
      <c r="AJ38" s="196" t="str">
        <f t="shared" si="14"/>
        <v/>
      </c>
      <c r="AK38" s="197" t="str">
        <f t="shared" si="15"/>
        <v/>
      </c>
    </row>
    <row r="39" spans="1:37" ht="24" customHeight="1">
      <c r="A39" s="198" t="s">
        <v>850</v>
      </c>
      <c r="B39" s="107"/>
      <c r="C39" s="108"/>
      <c r="D39" s="108"/>
      <c r="E39" s="107"/>
      <c r="F39" s="107"/>
      <c r="G39" s="199" t="s">
        <v>204</v>
      </c>
      <c r="H39" s="190" t="str">
        <f t="shared" si="6"/>
        <v/>
      </c>
      <c r="I39" s="190" t="str">
        <f t="shared" si="7"/>
        <v/>
      </c>
      <c r="J39" s="190" t="str">
        <f t="shared" si="8"/>
        <v/>
      </c>
      <c r="K39" s="190" t="str">
        <f t="shared" si="9"/>
        <v/>
      </c>
      <c r="L39" s="190" t="str">
        <f>IF(W39="OK",SBLine66(1,A39:G39,$A$11:$N$20,$AH$31:$AK$50),"")</f>
        <v/>
      </c>
      <c r="M39" s="190" t="str">
        <f>IF(W39="OK",SBLine66(2,A39:G39,$A$11:$N$20,$AH$31:$AK$50),"")</f>
        <v/>
      </c>
      <c r="N39" s="190" t="str">
        <f>IF(W39="OK",SBLine66(3,A39:G39,$A$11:$N$20,$AH$31:$AK$50),"")</f>
        <v/>
      </c>
      <c r="O39" s="190" t="str">
        <f>IF(W39="OK",SBLine66(4,A39:G39,$A$11:$N$20,$AH$31:$AK$50),"")</f>
        <v/>
      </c>
      <c r="P39" s="190" t="str">
        <f t="shared" si="10"/>
        <v/>
      </c>
      <c r="Q39" s="190" t="str">
        <f>IF(W39="OK",SBEffect66(3,A39:G39,L39:O39,$AH$31:$AK$50),"")</f>
        <v/>
      </c>
      <c r="R39" s="190" t="str">
        <f>IF(W39="OK",SBEffect66(4,A39:G39,L39:O39,$AH$31:$AK$50),"")</f>
        <v/>
      </c>
      <c r="S39" s="190" t="str">
        <f>IF(W39="OK",SBEffect66(5,A39:G39,L39:O39,$AH$31:$AK$50),"")</f>
        <v/>
      </c>
      <c r="T39" s="190" t="str">
        <f>IF(W39="OK",SBEffect66(6,A39:G39,L39:O39,$AH$31:$AK$50),"")</f>
        <v/>
      </c>
      <c r="U39" s="190" t="str">
        <f>IF(COUNTIF(RCLoadResults73[Member],A39),INDEX(RCLoadResults73[M],MATCH(A39,RCLoadResults73[Member],0)),IF(W39="OK",SBEffect66(1,A39:G39,L39:O39,$AH$31:$AK$50),""))</f>
        <v/>
      </c>
      <c r="V39" s="190" t="str">
        <f>IF(COUNTIF(RCLoadResults73[Member],A39),INDEX(RCLoadResults73[V],MATCH(A39,RCLoadResults73[Member],0)),IF(W39="OK",SBEffect66(2,A39:G39,L39:O39,$AH$31:$AK$50),""))</f>
        <v/>
      </c>
      <c r="W39" s="190" t="str">
        <f>IF(COUNTIF(RCLoadResults73[Member],A39),INDEX(RCLoadResults73[Status],MATCH(A39,RCLoadResults73[Member],0)),SBStatus66(A39:G39,$A$31:$G$50,$A$11:$N$20,$AH$31:$AK$50))</f>
        <v>UNUSED</v>
      </c>
      <c r="X39" s="190" t="str">
        <f t="shared" si="11"/>
        <v>UNUSED</v>
      </c>
      <c r="Y39" s="190" t="str">
        <f>IF(NOT(InputRowUsed73(A39:G39,"SB")),"",IF($F$4="","ENTER FIRE HOURS",IF(COUNTIF('Section B Concrete Cover'!$B$6:$D$6,$F$4)&lt;&gt;1,"CHECK FIRE HOURS",IF(G39&lt;&gt;"Simply-supported","CHECK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9" s="196" t="str">
        <f t="shared" si="12"/>
        <v/>
      </c>
      <c r="AI39" s="196" t="str">
        <f t="shared" si="13"/>
        <v/>
      </c>
      <c r="AJ39" s="196" t="str">
        <f t="shared" si="14"/>
        <v/>
      </c>
      <c r="AK39" s="197" t="str">
        <f t="shared" si="15"/>
        <v/>
      </c>
    </row>
    <row r="40" spans="1:37" ht="24" customHeight="1">
      <c r="A40" s="198" t="s">
        <v>851</v>
      </c>
      <c r="B40" s="107"/>
      <c r="C40" s="108"/>
      <c r="D40" s="108"/>
      <c r="E40" s="107"/>
      <c r="F40" s="107"/>
      <c r="G40" s="199" t="s">
        <v>204</v>
      </c>
      <c r="H40" s="190" t="str">
        <f t="shared" si="6"/>
        <v/>
      </c>
      <c r="I40" s="190" t="str">
        <f t="shared" si="7"/>
        <v/>
      </c>
      <c r="J40" s="190" t="str">
        <f t="shared" si="8"/>
        <v/>
      </c>
      <c r="K40" s="190" t="str">
        <f t="shared" si="9"/>
        <v/>
      </c>
      <c r="L40" s="190" t="str">
        <f>IF(W40="OK",SBLine66(1,A40:G40,$A$11:$N$20,$AH$31:$AK$50),"")</f>
        <v/>
      </c>
      <c r="M40" s="190" t="str">
        <f>IF(W40="OK",SBLine66(2,A40:G40,$A$11:$N$20,$AH$31:$AK$50),"")</f>
        <v/>
      </c>
      <c r="N40" s="190" t="str">
        <f>IF(W40="OK",SBLine66(3,A40:G40,$A$11:$N$20,$AH$31:$AK$50),"")</f>
        <v/>
      </c>
      <c r="O40" s="190" t="str">
        <f>IF(W40="OK",SBLine66(4,A40:G40,$A$11:$N$20,$AH$31:$AK$50),"")</f>
        <v/>
      </c>
      <c r="P40" s="190" t="str">
        <f t="shared" si="10"/>
        <v/>
      </c>
      <c r="Q40" s="190" t="str">
        <f>IF(W40="OK",SBEffect66(3,A40:G40,L40:O40,$AH$31:$AK$50),"")</f>
        <v/>
      </c>
      <c r="R40" s="190" t="str">
        <f>IF(W40="OK",SBEffect66(4,A40:G40,L40:O40,$AH$31:$AK$50),"")</f>
        <v/>
      </c>
      <c r="S40" s="190" t="str">
        <f>IF(W40="OK",SBEffect66(5,A40:G40,L40:O40,$AH$31:$AK$50),"")</f>
        <v/>
      </c>
      <c r="T40" s="190" t="str">
        <f>IF(W40="OK",SBEffect66(6,A40:G40,L40:O40,$AH$31:$AK$50),"")</f>
        <v/>
      </c>
      <c r="U40" s="190" t="str">
        <f>IF(COUNTIF(RCLoadResults73[Member],A40),INDEX(RCLoadResults73[M],MATCH(A40,RCLoadResults73[Member],0)),IF(W40="OK",SBEffect66(1,A40:G40,L40:O40,$AH$31:$AK$50),""))</f>
        <v/>
      </c>
      <c r="V40" s="190" t="str">
        <f>IF(COUNTIF(RCLoadResults73[Member],A40),INDEX(RCLoadResults73[V],MATCH(A40,RCLoadResults73[Member],0)),IF(W40="OK",SBEffect66(2,A40:G40,L40:O40,$AH$31:$AK$50),""))</f>
        <v/>
      </c>
      <c r="W40" s="190" t="str">
        <f>IF(COUNTIF(RCLoadResults73[Member],A40),INDEX(RCLoadResults73[Status],MATCH(A40,RCLoadResults73[Member],0)),SBStatus66(A40:G40,$A$31:$G$50,$A$11:$N$20,$AH$31:$AK$50))</f>
        <v>UNUSED</v>
      </c>
      <c r="X40" s="190" t="str">
        <f t="shared" si="11"/>
        <v>UNUSED</v>
      </c>
      <c r="Y40" s="190" t="str">
        <f>IF(NOT(InputRowUsed73(A40:G40,"SB")),"",IF($F$4="","ENTER FIRE HOURS",IF(COUNTIF('Section B Concrete Cover'!$B$6:$D$6,$F$4)&lt;&gt;1,"CHECK FIRE HOURS",IF(G40&lt;&gt;"Simply-supported","CHECK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0" s="196" t="str">
        <f t="shared" si="12"/>
        <v/>
      </c>
      <c r="AI40" s="196" t="str">
        <f t="shared" si="13"/>
        <v/>
      </c>
      <c r="AJ40" s="196" t="str">
        <f t="shared" si="14"/>
        <v/>
      </c>
      <c r="AK40" s="197" t="str">
        <f t="shared" si="15"/>
        <v/>
      </c>
    </row>
    <row r="41" spans="1:37" ht="24" customHeight="1">
      <c r="A41" s="198" t="s">
        <v>852</v>
      </c>
      <c r="B41" s="107"/>
      <c r="C41" s="108"/>
      <c r="D41" s="108"/>
      <c r="E41" s="107"/>
      <c r="F41" s="107"/>
      <c r="G41" s="199" t="s">
        <v>204</v>
      </c>
      <c r="H41" s="190" t="str">
        <f t="shared" si="6"/>
        <v/>
      </c>
      <c r="I41" s="190" t="str">
        <f t="shared" si="7"/>
        <v/>
      </c>
      <c r="J41" s="190" t="str">
        <f t="shared" si="8"/>
        <v/>
      </c>
      <c r="K41" s="190" t="str">
        <f t="shared" si="9"/>
        <v/>
      </c>
      <c r="L41" s="190" t="str">
        <f>IF(W41="OK",SBLine66(1,A41:G41,$A$11:$N$20,$AH$31:$AK$50),"")</f>
        <v/>
      </c>
      <c r="M41" s="190" t="str">
        <f>IF(W41="OK",SBLine66(2,A41:G41,$A$11:$N$20,$AH$31:$AK$50),"")</f>
        <v/>
      </c>
      <c r="N41" s="190" t="str">
        <f>IF(W41="OK",SBLine66(3,A41:G41,$A$11:$N$20,$AH$31:$AK$50),"")</f>
        <v/>
      </c>
      <c r="O41" s="190" t="str">
        <f>IF(W41="OK",SBLine66(4,A41:G41,$A$11:$N$20,$AH$31:$AK$50),"")</f>
        <v/>
      </c>
      <c r="P41" s="190" t="str">
        <f t="shared" si="10"/>
        <v/>
      </c>
      <c r="Q41" s="190" t="str">
        <f>IF(W41="OK",SBEffect66(3,A41:G41,L41:O41,$AH$31:$AK$50),"")</f>
        <v/>
      </c>
      <c r="R41" s="190" t="str">
        <f>IF(W41="OK",SBEffect66(4,A41:G41,L41:O41,$AH$31:$AK$50),"")</f>
        <v/>
      </c>
      <c r="S41" s="190" t="str">
        <f>IF(W41="OK",SBEffect66(5,A41:G41,L41:O41,$AH$31:$AK$50),"")</f>
        <v/>
      </c>
      <c r="T41" s="190" t="str">
        <f>IF(W41="OK",SBEffect66(6,A41:G41,L41:O41,$AH$31:$AK$50),"")</f>
        <v/>
      </c>
      <c r="U41" s="190" t="str">
        <f>IF(COUNTIF(RCLoadResults73[Member],A41),INDEX(RCLoadResults73[M],MATCH(A41,RCLoadResults73[Member],0)),IF(W41="OK",SBEffect66(1,A41:G41,L41:O41,$AH$31:$AK$50),""))</f>
        <v/>
      </c>
      <c r="V41" s="190" t="str">
        <f>IF(COUNTIF(RCLoadResults73[Member],A41),INDEX(RCLoadResults73[V],MATCH(A41,RCLoadResults73[Member],0)),IF(W41="OK",SBEffect66(2,A41:G41,L41:O41,$AH$31:$AK$50),""))</f>
        <v/>
      </c>
      <c r="W41" s="190" t="str">
        <f>IF(COUNTIF(RCLoadResults73[Member],A41),INDEX(RCLoadResults73[Status],MATCH(A41,RCLoadResults73[Member],0)),SBStatus66(A41:G41,$A$31:$G$50,$A$11:$N$20,$AH$31:$AK$50))</f>
        <v>UNUSED</v>
      </c>
      <c r="X41" s="190" t="str">
        <f t="shared" si="11"/>
        <v>UNUSED</v>
      </c>
      <c r="Y41" s="190" t="str">
        <f>IF(NOT(InputRowUsed73(A41:G41,"SB")),"",IF($F$4="","ENTER FIRE HOURS",IF(COUNTIF('Section B Concrete Cover'!$B$6:$D$6,$F$4)&lt;&gt;1,"CHECK FIRE HOURS",IF(G41&lt;&gt;"Simply-supported","CHECK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1" s="196" t="str">
        <f t="shared" si="12"/>
        <v/>
      </c>
      <c r="AI41" s="196" t="str">
        <f t="shared" si="13"/>
        <v/>
      </c>
      <c r="AJ41" s="196" t="str">
        <f t="shared" si="14"/>
        <v/>
      </c>
      <c r="AK41" s="197" t="str">
        <f t="shared" si="15"/>
        <v/>
      </c>
    </row>
    <row r="42" spans="1:37" ht="24" customHeight="1">
      <c r="A42" s="198" t="s">
        <v>853</v>
      </c>
      <c r="B42" s="107"/>
      <c r="C42" s="108"/>
      <c r="D42" s="108"/>
      <c r="E42" s="107"/>
      <c r="F42" s="107"/>
      <c r="G42" s="199" t="s">
        <v>204</v>
      </c>
      <c r="H42" s="190" t="str">
        <f t="shared" si="6"/>
        <v/>
      </c>
      <c r="I42" s="190" t="str">
        <f t="shared" si="7"/>
        <v/>
      </c>
      <c r="J42" s="190" t="str">
        <f t="shared" si="8"/>
        <v/>
      </c>
      <c r="K42" s="190" t="str">
        <f t="shared" si="9"/>
        <v/>
      </c>
      <c r="L42" s="190" t="str">
        <f>IF(W42="OK",SBLine66(1,A42:G42,$A$11:$N$20,$AH$31:$AK$50),"")</f>
        <v/>
      </c>
      <c r="M42" s="190" t="str">
        <f>IF(W42="OK",SBLine66(2,A42:G42,$A$11:$N$20,$AH$31:$AK$50),"")</f>
        <v/>
      </c>
      <c r="N42" s="190" t="str">
        <f>IF(W42="OK",SBLine66(3,A42:G42,$A$11:$N$20,$AH$31:$AK$50),"")</f>
        <v/>
      </c>
      <c r="O42" s="190" t="str">
        <f>IF(W42="OK",SBLine66(4,A42:G42,$A$11:$N$20,$AH$31:$AK$50),"")</f>
        <v/>
      </c>
      <c r="P42" s="190" t="str">
        <f t="shared" si="10"/>
        <v/>
      </c>
      <c r="Q42" s="190" t="str">
        <f>IF(W42="OK",SBEffect66(3,A42:G42,L42:O42,$AH$31:$AK$50),"")</f>
        <v/>
      </c>
      <c r="R42" s="190" t="str">
        <f>IF(W42="OK",SBEffect66(4,A42:G42,L42:O42,$AH$31:$AK$50),"")</f>
        <v/>
      </c>
      <c r="S42" s="190" t="str">
        <f>IF(W42="OK",SBEffect66(5,A42:G42,L42:O42,$AH$31:$AK$50),"")</f>
        <v/>
      </c>
      <c r="T42" s="190" t="str">
        <f>IF(W42="OK",SBEffect66(6,A42:G42,L42:O42,$AH$31:$AK$50),"")</f>
        <v/>
      </c>
      <c r="U42" s="190" t="str">
        <f>IF(COUNTIF(RCLoadResults73[Member],A42),INDEX(RCLoadResults73[M],MATCH(A42,RCLoadResults73[Member],0)),IF(W42="OK",SBEffect66(1,A42:G42,L42:O42,$AH$31:$AK$50),""))</f>
        <v/>
      </c>
      <c r="V42" s="190" t="str">
        <f>IF(COUNTIF(RCLoadResults73[Member],A42),INDEX(RCLoadResults73[V],MATCH(A42,RCLoadResults73[Member],0)),IF(W42="OK",SBEffect66(2,A42:G42,L42:O42,$AH$31:$AK$50),""))</f>
        <v/>
      </c>
      <c r="W42" s="190" t="str">
        <f>IF(COUNTIF(RCLoadResults73[Member],A42),INDEX(RCLoadResults73[Status],MATCH(A42,RCLoadResults73[Member],0)),SBStatus66(A42:G42,$A$31:$G$50,$A$11:$N$20,$AH$31:$AK$50))</f>
        <v>UNUSED</v>
      </c>
      <c r="X42" s="190" t="str">
        <f t="shared" si="11"/>
        <v>UNUSED</v>
      </c>
      <c r="Y42" s="190" t="str">
        <f>IF(NOT(InputRowUsed73(A42:G42,"SB")),"",IF($F$4="","ENTER FIRE HOURS",IF(COUNTIF('Section B Concrete Cover'!$B$6:$D$6,$F$4)&lt;&gt;1,"CHECK FIRE HOURS",IF(G42&lt;&gt;"Simply-supported","CHECK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2" s="196" t="str">
        <f t="shared" si="12"/>
        <v/>
      </c>
      <c r="AI42" s="196" t="str">
        <f t="shared" si="13"/>
        <v/>
      </c>
      <c r="AJ42" s="196" t="str">
        <f t="shared" si="14"/>
        <v/>
      </c>
      <c r="AK42" s="197" t="str">
        <f t="shared" si="15"/>
        <v/>
      </c>
    </row>
    <row r="43" spans="1:37" ht="24" customHeight="1">
      <c r="A43" s="198" t="s">
        <v>854</v>
      </c>
      <c r="B43" s="107"/>
      <c r="C43" s="108"/>
      <c r="D43" s="108"/>
      <c r="E43" s="107"/>
      <c r="F43" s="107"/>
      <c r="G43" s="199" t="s">
        <v>204</v>
      </c>
      <c r="H43" s="190" t="str">
        <f t="shared" si="6"/>
        <v/>
      </c>
      <c r="I43" s="190" t="str">
        <f t="shared" si="7"/>
        <v/>
      </c>
      <c r="J43" s="190" t="str">
        <f t="shared" si="8"/>
        <v/>
      </c>
      <c r="K43" s="190" t="str">
        <f t="shared" si="9"/>
        <v/>
      </c>
      <c r="L43" s="190" t="str">
        <f>IF(W43="OK",SBLine66(1,A43:G43,$A$11:$N$20,$AH$31:$AK$50),"")</f>
        <v/>
      </c>
      <c r="M43" s="190" t="str">
        <f>IF(W43="OK",SBLine66(2,A43:G43,$A$11:$N$20,$AH$31:$AK$50),"")</f>
        <v/>
      </c>
      <c r="N43" s="190" t="str">
        <f>IF(W43="OK",SBLine66(3,A43:G43,$A$11:$N$20,$AH$31:$AK$50),"")</f>
        <v/>
      </c>
      <c r="O43" s="190" t="str">
        <f>IF(W43="OK",SBLine66(4,A43:G43,$A$11:$N$20,$AH$31:$AK$50),"")</f>
        <v/>
      </c>
      <c r="P43" s="190" t="str">
        <f t="shared" si="10"/>
        <v/>
      </c>
      <c r="Q43" s="190" t="str">
        <f>IF(W43="OK",SBEffect66(3,A43:G43,L43:O43,$AH$31:$AK$50),"")</f>
        <v/>
      </c>
      <c r="R43" s="190" t="str">
        <f>IF(W43="OK",SBEffect66(4,A43:G43,L43:O43,$AH$31:$AK$50),"")</f>
        <v/>
      </c>
      <c r="S43" s="190" t="str">
        <f>IF(W43="OK",SBEffect66(5,A43:G43,L43:O43,$AH$31:$AK$50),"")</f>
        <v/>
      </c>
      <c r="T43" s="190" t="str">
        <f>IF(W43="OK",SBEffect66(6,A43:G43,L43:O43,$AH$31:$AK$50),"")</f>
        <v/>
      </c>
      <c r="U43" s="190" t="str">
        <f>IF(COUNTIF(RCLoadResults73[Member],A43),INDEX(RCLoadResults73[M],MATCH(A43,RCLoadResults73[Member],0)),IF(W43="OK",SBEffect66(1,A43:G43,L43:O43,$AH$31:$AK$50),""))</f>
        <v/>
      </c>
      <c r="V43" s="190" t="str">
        <f>IF(COUNTIF(RCLoadResults73[Member],A43),INDEX(RCLoadResults73[V],MATCH(A43,RCLoadResults73[Member],0)),IF(W43="OK",SBEffect66(2,A43:G43,L43:O43,$AH$31:$AK$50),""))</f>
        <v/>
      </c>
      <c r="W43" s="190" t="str">
        <f>IF(COUNTIF(RCLoadResults73[Member],A43),INDEX(RCLoadResults73[Status],MATCH(A43,RCLoadResults73[Member],0)),SBStatus66(A43:G43,$A$31:$G$50,$A$11:$N$20,$AH$31:$AK$50))</f>
        <v>UNUSED</v>
      </c>
      <c r="X43" s="190" t="str">
        <f t="shared" si="11"/>
        <v>UNUSED</v>
      </c>
      <c r="Y43" s="190" t="str">
        <f>IF(NOT(InputRowUsed73(A43:G43,"SB")),"",IF($F$4="","ENTER FIRE HOURS",IF(COUNTIF('Section B Concrete Cover'!$B$6:$D$6,$F$4)&lt;&gt;1,"CHECK FIRE HOURS",IF(G43&lt;&gt;"Simply-supported","CHECK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3" s="196" t="str">
        <f t="shared" si="12"/>
        <v/>
      </c>
      <c r="AI43" s="196" t="str">
        <f t="shared" si="13"/>
        <v/>
      </c>
      <c r="AJ43" s="196" t="str">
        <f t="shared" si="14"/>
        <v/>
      </c>
      <c r="AK43" s="197" t="str">
        <f t="shared" si="15"/>
        <v/>
      </c>
    </row>
    <row r="44" spans="1:37" ht="24" customHeight="1">
      <c r="A44" s="198" t="s">
        <v>855</v>
      </c>
      <c r="B44" s="107"/>
      <c r="C44" s="108"/>
      <c r="D44" s="108"/>
      <c r="E44" s="107"/>
      <c r="F44" s="107"/>
      <c r="G44" s="199" t="s">
        <v>204</v>
      </c>
      <c r="H44" s="190" t="str">
        <f t="shared" si="6"/>
        <v/>
      </c>
      <c r="I44" s="190" t="str">
        <f t="shared" si="7"/>
        <v/>
      </c>
      <c r="J44" s="190" t="str">
        <f t="shared" si="8"/>
        <v/>
      </c>
      <c r="K44" s="190" t="str">
        <f t="shared" si="9"/>
        <v/>
      </c>
      <c r="L44" s="190" t="str">
        <f>IF(W44="OK",SBLine66(1,A44:G44,$A$11:$N$20,$AH$31:$AK$50),"")</f>
        <v/>
      </c>
      <c r="M44" s="190" t="str">
        <f>IF(W44="OK",SBLine66(2,A44:G44,$A$11:$N$20,$AH$31:$AK$50),"")</f>
        <v/>
      </c>
      <c r="N44" s="190" t="str">
        <f>IF(W44="OK",SBLine66(3,A44:G44,$A$11:$N$20,$AH$31:$AK$50),"")</f>
        <v/>
      </c>
      <c r="O44" s="190" t="str">
        <f>IF(W44="OK",SBLine66(4,A44:G44,$A$11:$N$20,$AH$31:$AK$50),"")</f>
        <v/>
      </c>
      <c r="P44" s="190" t="str">
        <f t="shared" si="10"/>
        <v/>
      </c>
      <c r="Q44" s="190" t="str">
        <f>IF(W44="OK",SBEffect66(3,A44:G44,L44:O44,$AH$31:$AK$50),"")</f>
        <v/>
      </c>
      <c r="R44" s="190" t="str">
        <f>IF(W44="OK",SBEffect66(4,A44:G44,L44:O44,$AH$31:$AK$50),"")</f>
        <v/>
      </c>
      <c r="S44" s="190" t="str">
        <f>IF(W44="OK",SBEffect66(5,A44:G44,L44:O44,$AH$31:$AK$50),"")</f>
        <v/>
      </c>
      <c r="T44" s="190" t="str">
        <f>IF(W44="OK",SBEffect66(6,A44:G44,L44:O44,$AH$31:$AK$50),"")</f>
        <v/>
      </c>
      <c r="U44" s="190" t="str">
        <f>IF(COUNTIF(RCLoadResults73[Member],A44),INDEX(RCLoadResults73[M],MATCH(A44,RCLoadResults73[Member],0)),IF(W44="OK",SBEffect66(1,A44:G44,L44:O44,$AH$31:$AK$50),""))</f>
        <v/>
      </c>
      <c r="V44" s="190" t="str">
        <f>IF(COUNTIF(RCLoadResults73[Member],A44),INDEX(RCLoadResults73[V],MATCH(A44,RCLoadResults73[Member],0)),IF(W44="OK",SBEffect66(2,A44:G44,L44:O44,$AH$31:$AK$50),""))</f>
        <v/>
      </c>
      <c r="W44" s="190" t="str">
        <f>IF(COUNTIF(RCLoadResults73[Member],A44),INDEX(RCLoadResults73[Status],MATCH(A44,RCLoadResults73[Member],0)),SBStatus66(A44:G44,$A$31:$G$50,$A$11:$N$20,$AH$31:$AK$50))</f>
        <v>UNUSED</v>
      </c>
      <c r="X44" s="190" t="str">
        <f t="shared" si="11"/>
        <v>UNUSED</v>
      </c>
      <c r="Y44" s="190" t="str">
        <f>IF(NOT(InputRowUsed73(A44:G44,"SB")),"",IF($F$4="","ENTER FIRE HOURS",IF(COUNTIF('Section B Concrete Cover'!$B$6:$D$6,$F$4)&lt;&gt;1,"CHECK FIRE HOURS",IF(G44&lt;&gt;"Simply-supported","CHECK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4" s="196" t="str">
        <f t="shared" si="12"/>
        <v/>
      </c>
      <c r="AI44" s="196" t="str">
        <f t="shared" si="13"/>
        <v/>
      </c>
      <c r="AJ44" s="196" t="str">
        <f t="shared" si="14"/>
        <v/>
      </c>
      <c r="AK44" s="197" t="str">
        <f t="shared" si="15"/>
        <v/>
      </c>
    </row>
    <row r="45" spans="1:37" ht="24" customHeight="1">
      <c r="A45" s="198" t="s">
        <v>856</v>
      </c>
      <c r="B45" s="107"/>
      <c r="C45" s="108"/>
      <c r="D45" s="108"/>
      <c r="E45" s="107"/>
      <c r="F45" s="107"/>
      <c r="G45" s="199" t="s">
        <v>204</v>
      </c>
      <c r="H45" s="190" t="str">
        <f t="shared" si="6"/>
        <v/>
      </c>
      <c r="I45" s="190" t="str">
        <f t="shared" si="7"/>
        <v/>
      </c>
      <c r="J45" s="190" t="str">
        <f t="shared" si="8"/>
        <v/>
      </c>
      <c r="K45" s="190" t="str">
        <f t="shared" si="9"/>
        <v/>
      </c>
      <c r="L45" s="190" t="str">
        <f>IF(W45="OK",SBLine66(1,A45:G45,$A$11:$N$20,$AH$31:$AK$50),"")</f>
        <v/>
      </c>
      <c r="M45" s="190" t="str">
        <f>IF(W45="OK",SBLine66(2,A45:G45,$A$11:$N$20,$AH$31:$AK$50),"")</f>
        <v/>
      </c>
      <c r="N45" s="190" t="str">
        <f>IF(W45="OK",SBLine66(3,A45:G45,$A$11:$N$20,$AH$31:$AK$50),"")</f>
        <v/>
      </c>
      <c r="O45" s="190" t="str">
        <f>IF(W45="OK",SBLine66(4,A45:G45,$A$11:$N$20,$AH$31:$AK$50),"")</f>
        <v/>
      </c>
      <c r="P45" s="190" t="str">
        <f t="shared" si="10"/>
        <v/>
      </c>
      <c r="Q45" s="190" t="str">
        <f>IF(W45="OK",SBEffect66(3,A45:G45,L45:O45,$AH$31:$AK$50),"")</f>
        <v/>
      </c>
      <c r="R45" s="190" t="str">
        <f>IF(W45="OK",SBEffect66(4,A45:G45,L45:O45,$AH$31:$AK$50),"")</f>
        <v/>
      </c>
      <c r="S45" s="190" t="str">
        <f>IF(W45="OK",SBEffect66(5,A45:G45,L45:O45,$AH$31:$AK$50),"")</f>
        <v/>
      </c>
      <c r="T45" s="190" t="str">
        <f>IF(W45="OK",SBEffect66(6,A45:G45,L45:O45,$AH$31:$AK$50),"")</f>
        <v/>
      </c>
      <c r="U45" s="190" t="str">
        <f>IF(COUNTIF(RCLoadResults73[Member],A45),INDEX(RCLoadResults73[M],MATCH(A45,RCLoadResults73[Member],0)),IF(W45="OK",SBEffect66(1,A45:G45,L45:O45,$AH$31:$AK$50),""))</f>
        <v/>
      </c>
      <c r="V45" s="190" t="str">
        <f>IF(COUNTIF(RCLoadResults73[Member],A45),INDEX(RCLoadResults73[V],MATCH(A45,RCLoadResults73[Member],0)),IF(W45="OK",SBEffect66(2,A45:G45,L45:O45,$AH$31:$AK$50),""))</f>
        <v/>
      </c>
      <c r="W45" s="190" t="str">
        <f>IF(COUNTIF(RCLoadResults73[Member],A45),INDEX(RCLoadResults73[Status],MATCH(A45,RCLoadResults73[Member],0)),SBStatus66(A45:G45,$A$31:$G$50,$A$11:$N$20,$AH$31:$AK$50))</f>
        <v>UNUSED</v>
      </c>
      <c r="X45" s="190" t="str">
        <f t="shared" si="11"/>
        <v>UNUSED</v>
      </c>
      <c r="Y45" s="190" t="str">
        <f>IF(NOT(InputRowUsed73(A45:G45,"SB")),"",IF($F$4="","ENTER FIRE HOURS",IF(COUNTIF('Section B Concrete Cover'!$B$6:$D$6,$F$4)&lt;&gt;1,"CHECK FIRE HOURS",IF(G45&lt;&gt;"Simply-supported","CHECK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5" s="196" t="str">
        <f t="shared" si="12"/>
        <v/>
      </c>
      <c r="AI45" s="196" t="str">
        <f t="shared" si="13"/>
        <v/>
      </c>
      <c r="AJ45" s="196" t="str">
        <f t="shared" si="14"/>
        <v/>
      </c>
      <c r="AK45" s="197" t="str">
        <f t="shared" si="15"/>
        <v/>
      </c>
    </row>
    <row r="46" spans="1:37" ht="24" customHeight="1">
      <c r="A46" s="198" t="s">
        <v>857</v>
      </c>
      <c r="B46" s="107"/>
      <c r="C46" s="108"/>
      <c r="D46" s="108"/>
      <c r="E46" s="107"/>
      <c r="F46" s="107"/>
      <c r="G46" s="199" t="s">
        <v>204</v>
      </c>
      <c r="H46" s="190" t="str">
        <f t="shared" si="6"/>
        <v/>
      </c>
      <c r="I46" s="190" t="str">
        <f t="shared" si="7"/>
        <v/>
      </c>
      <c r="J46" s="190" t="str">
        <f t="shared" si="8"/>
        <v/>
      </c>
      <c r="K46" s="190" t="str">
        <f t="shared" si="9"/>
        <v/>
      </c>
      <c r="L46" s="190" t="str">
        <f>IF(W46="OK",SBLine66(1,A46:G46,$A$11:$N$20,$AH$31:$AK$50),"")</f>
        <v/>
      </c>
      <c r="M46" s="190" t="str">
        <f>IF(W46="OK",SBLine66(2,A46:G46,$A$11:$N$20,$AH$31:$AK$50),"")</f>
        <v/>
      </c>
      <c r="N46" s="190" t="str">
        <f>IF(W46="OK",SBLine66(3,A46:G46,$A$11:$N$20,$AH$31:$AK$50),"")</f>
        <v/>
      </c>
      <c r="O46" s="190" t="str">
        <f>IF(W46="OK",SBLine66(4,A46:G46,$A$11:$N$20,$AH$31:$AK$50),"")</f>
        <v/>
      </c>
      <c r="P46" s="190" t="str">
        <f t="shared" si="10"/>
        <v/>
      </c>
      <c r="Q46" s="190" t="str">
        <f>IF(W46="OK",SBEffect66(3,A46:G46,L46:O46,$AH$31:$AK$50),"")</f>
        <v/>
      </c>
      <c r="R46" s="190" t="str">
        <f>IF(W46="OK",SBEffect66(4,A46:G46,L46:O46,$AH$31:$AK$50),"")</f>
        <v/>
      </c>
      <c r="S46" s="190" t="str">
        <f>IF(W46="OK",SBEffect66(5,A46:G46,L46:O46,$AH$31:$AK$50),"")</f>
        <v/>
      </c>
      <c r="T46" s="190" t="str">
        <f>IF(W46="OK",SBEffect66(6,A46:G46,L46:O46,$AH$31:$AK$50),"")</f>
        <v/>
      </c>
      <c r="U46" s="190" t="str">
        <f>IF(COUNTIF(RCLoadResults73[Member],A46),INDEX(RCLoadResults73[M],MATCH(A46,RCLoadResults73[Member],0)),IF(W46="OK",SBEffect66(1,A46:G46,L46:O46,$AH$31:$AK$50),""))</f>
        <v/>
      </c>
      <c r="V46" s="190" t="str">
        <f>IF(COUNTIF(RCLoadResults73[Member],A46),INDEX(RCLoadResults73[V],MATCH(A46,RCLoadResults73[Member],0)),IF(W46="OK",SBEffect66(2,A46:G46,L46:O46,$AH$31:$AK$50),""))</f>
        <v/>
      </c>
      <c r="W46" s="190" t="str">
        <f>IF(COUNTIF(RCLoadResults73[Member],A46),INDEX(RCLoadResults73[Status],MATCH(A46,RCLoadResults73[Member],0)),SBStatus66(A46:G46,$A$31:$G$50,$A$11:$N$20,$AH$31:$AK$50))</f>
        <v>UNUSED</v>
      </c>
      <c r="X46" s="190" t="str">
        <f t="shared" si="11"/>
        <v>UNUSED</v>
      </c>
      <c r="Y46" s="190" t="str">
        <f>IF(NOT(InputRowUsed73(A46:G46,"SB")),"",IF($F$4="","ENTER FIRE HOURS",IF(COUNTIF('Section B Concrete Cover'!$B$6:$D$6,$F$4)&lt;&gt;1,"CHECK FIRE HOURS",IF(G46&lt;&gt;"Simply-supported","CHECK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6" s="196" t="str">
        <f t="shared" si="12"/>
        <v/>
      </c>
      <c r="AI46" s="196" t="str">
        <f t="shared" si="13"/>
        <v/>
      </c>
      <c r="AJ46" s="196" t="str">
        <f t="shared" si="14"/>
        <v/>
      </c>
      <c r="AK46" s="197" t="str">
        <f t="shared" si="15"/>
        <v/>
      </c>
    </row>
    <row r="47" spans="1:37" ht="24" customHeight="1">
      <c r="A47" s="198" t="s">
        <v>858</v>
      </c>
      <c r="B47" s="107"/>
      <c r="C47" s="108"/>
      <c r="D47" s="108"/>
      <c r="E47" s="107"/>
      <c r="F47" s="107"/>
      <c r="G47" s="199" t="s">
        <v>204</v>
      </c>
      <c r="H47" s="190" t="str">
        <f t="shared" si="6"/>
        <v/>
      </c>
      <c r="I47" s="190" t="str">
        <f t="shared" si="7"/>
        <v/>
      </c>
      <c r="J47" s="190" t="str">
        <f t="shared" si="8"/>
        <v/>
      </c>
      <c r="K47" s="190" t="str">
        <f t="shared" si="9"/>
        <v/>
      </c>
      <c r="L47" s="190" t="str">
        <f>IF(W47="OK",SBLine66(1,A47:G47,$A$11:$N$20,$AH$31:$AK$50),"")</f>
        <v/>
      </c>
      <c r="M47" s="190" t="str">
        <f>IF(W47="OK",SBLine66(2,A47:G47,$A$11:$N$20,$AH$31:$AK$50),"")</f>
        <v/>
      </c>
      <c r="N47" s="190" t="str">
        <f>IF(W47="OK",SBLine66(3,A47:G47,$A$11:$N$20,$AH$31:$AK$50),"")</f>
        <v/>
      </c>
      <c r="O47" s="190" t="str">
        <f>IF(W47="OK",SBLine66(4,A47:G47,$A$11:$N$20,$AH$31:$AK$50),"")</f>
        <v/>
      </c>
      <c r="P47" s="190" t="str">
        <f t="shared" si="10"/>
        <v/>
      </c>
      <c r="Q47" s="190" t="str">
        <f>IF(W47="OK",SBEffect66(3,A47:G47,L47:O47,$AH$31:$AK$50),"")</f>
        <v/>
      </c>
      <c r="R47" s="190" t="str">
        <f>IF(W47="OK",SBEffect66(4,A47:G47,L47:O47,$AH$31:$AK$50),"")</f>
        <v/>
      </c>
      <c r="S47" s="190" t="str">
        <f>IF(W47="OK",SBEffect66(5,A47:G47,L47:O47,$AH$31:$AK$50),"")</f>
        <v/>
      </c>
      <c r="T47" s="190" t="str">
        <f>IF(W47="OK",SBEffect66(6,A47:G47,L47:O47,$AH$31:$AK$50),"")</f>
        <v/>
      </c>
      <c r="U47" s="190" t="str">
        <f>IF(COUNTIF(RCLoadResults73[Member],A47),INDEX(RCLoadResults73[M],MATCH(A47,RCLoadResults73[Member],0)),IF(W47="OK",SBEffect66(1,A47:G47,L47:O47,$AH$31:$AK$50),""))</f>
        <v/>
      </c>
      <c r="V47" s="190" t="str">
        <f>IF(COUNTIF(RCLoadResults73[Member],A47),INDEX(RCLoadResults73[V],MATCH(A47,RCLoadResults73[Member],0)),IF(W47="OK",SBEffect66(2,A47:G47,L47:O47,$AH$31:$AK$50),""))</f>
        <v/>
      </c>
      <c r="W47" s="190" t="str">
        <f>IF(COUNTIF(RCLoadResults73[Member],A47),INDEX(RCLoadResults73[Status],MATCH(A47,RCLoadResults73[Member],0)),SBStatus66(A47:G47,$A$31:$G$50,$A$11:$N$20,$AH$31:$AK$50))</f>
        <v>UNUSED</v>
      </c>
      <c r="X47" s="190" t="str">
        <f t="shared" si="11"/>
        <v>UNUSED</v>
      </c>
      <c r="Y47" s="190" t="str">
        <f>IF(NOT(InputRowUsed73(A47:G47,"SB")),"",IF($F$4="","ENTER FIRE HOURS",IF(COUNTIF('Section B Concrete Cover'!$B$6:$D$6,$F$4)&lt;&gt;1,"CHECK FIRE HOURS",IF(G47&lt;&gt;"Simply-supported","CHECK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7" s="196" t="str">
        <f t="shared" si="12"/>
        <v/>
      </c>
      <c r="AI47" s="196" t="str">
        <f t="shared" si="13"/>
        <v/>
      </c>
      <c r="AJ47" s="196" t="str">
        <f t="shared" si="14"/>
        <v/>
      </c>
      <c r="AK47" s="197" t="str">
        <f t="shared" si="15"/>
        <v/>
      </c>
    </row>
    <row r="48" spans="1:37" ht="24" customHeight="1">
      <c r="A48" s="198" t="s">
        <v>859</v>
      </c>
      <c r="B48" s="107"/>
      <c r="C48" s="108"/>
      <c r="D48" s="108"/>
      <c r="E48" s="107"/>
      <c r="F48" s="107"/>
      <c r="G48" s="199" t="s">
        <v>204</v>
      </c>
      <c r="H48" s="190" t="str">
        <f t="shared" si="6"/>
        <v/>
      </c>
      <c r="I48" s="190" t="str">
        <f t="shared" si="7"/>
        <v/>
      </c>
      <c r="J48" s="190" t="str">
        <f t="shared" si="8"/>
        <v/>
      </c>
      <c r="K48" s="190" t="str">
        <f t="shared" si="9"/>
        <v/>
      </c>
      <c r="L48" s="190" t="str">
        <f>IF(W48="OK",SBLine66(1,A48:G48,$A$11:$N$20,$AH$31:$AK$50),"")</f>
        <v/>
      </c>
      <c r="M48" s="190" t="str">
        <f>IF(W48="OK",SBLine66(2,A48:G48,$A$11:$N$20,$AH$31:$AK$50),"")</f>
        <v/>
      </c>
      <c r="N48" s="190" t="str">
        <f>IF(W48="OK",SBLine66(3,A48:G48,$A$11:$N$20,$AH$31:$AK$50),"")</f>
        <v/>
      </c>
      <c r="O48" s="190" t="str">
        <f>IF(W48="OK",SBLine66(4,A48:G48,$A$11:$N$20,$AH$31:$AK$50),"")</f>
        <v/>
      </c>
      <c r="P48" s="190" t="str">
        <f t="shared" si="10"/>
        <v/>
      </c>
      <c r="Q48" s="190" t="str">
        <f>IF(W48="OK",SBEffect66(3,A48:G48,L48:O48,$AH$31:$AK$50),"")</f>
        <v/>
      </c>
      <c r="R48" s="190" t="str">
        <f>IF(W48="OK",SBEffect66(4,A48:G48,L48:O48,$AH$31:$AK$50),"")</f>
        <v/>
      </c>
      <c r="S48" s="190" t="str">
        <f>IF(W48="OK",SBEffect66(5,A48:G48,L48:O48,$AH$31:$AK$50),"")</f>
        <v/>
      </c>
      <c r="T48" s="190" t="str">
        <f>IF(W48="OK",SBEffect66(6,A48:G48,L48:O48,$AH$31:$AK$50),"")</f>
        <v/>
      </c>
      <c r="U48" s="190" t="str">
        <f>IF(COUNTIF(RCLoadResults73[Member],A48),INDEX(RCLoadResults73[M],MATCH(A48,RCLoadResults73[Member],0)),IF(W48="OK",SBEffect66(1,A48:G48,L48:O48,$AH$31:$AK$50),""))</f>
        <v/>
      </c>
      <c r="V48" s="190" t="str">
        <f>IF(COUNTIF(RCLoadResults73[Member],A48),INDEX(RCLoadResults73[V],MATCH(A48,RCLoadResults73[Member],0)),IF(W48="OK",SBEffect66(2,A48:G48,L48:O48,$AH$31:$AK$50),""))</f>
        <v/>
      </c>
      <c r="W48" s="190" t="str">
        <f>IF(COUNTIF(RCLoadResults73[Member],A48),INDEX(RCLoadResults73[Status],MATCH(A48,RCLoadResults73[Member],0)),SBStatus66(A48:G48,$A$31:$G$50,$A$11:$N$20,$AH$31:$AK$50))</f>
        <v>UNUSED</v>
      </c>
      <c r="X48" s="190" t="str">
        <f t="shared" si="11"/>
        <v>UNUSED</v>
      </c>
      <c r="Y48" s="190" t="str">
        <f>IF(NOT(InputRowUsed73(A48:G48,"SB")),"",IF($F$4="","ENTER FIRE HOURS",IF(COUNTIF('Section B Concrete Cover'!$B$6:$D$6,$F$4)&lt;&gt;1,"CHECK FIRE HOURS",IF(G48&lt;&gt;"Simply-supported","CHECK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8" s="196" t="str">
        <f t="shared" si="12"/>
        <v/>
      </c>
      <c r="AI48" s="196" t="str">
        <f t="shared" si="13"/>
        <v/>
      </c>
      <c r="AJ48" s="196" t="str">
        <f t="shared" si="14"/>
        <v/>
      </c>
      <c r="AK48" s="197" t="str">
        <f t="shared" si="15"/>
        <v/>
      </c>
    </row>
    <row r="49" spans="1:37" ht="24" customHeight="1">
      <c r="A49" s="198" t="s">
        <v>860</v>
      </c>
      <c r="B49" s="107"/>
      <c r="C49" s="108"/>
      <c r="D49" s="108"/>
      <c r="E49" s="107"/>
      <c r="F49" s="107"/>
      <c r="G49" s="199" t="s">
        <v>204</v>
      </c>
      <c r="H49" s="190" t="str">
        <f t="shared" si="6"/>
        <v/>
      </c>
      <c r="I49" s="190" t="str">
        <f t="shared" si="7"/>
        <v/>
      </c>
      <c r="J49" s="190" t="str">
        <f t="shared" si="8"/>
        <v/>
      </c>
      <c r="K49" s="190" t="str">
        <f t="shared" si="9"/>
        <v/>
      </c>
      <c r="L49" s="190" t="str">
        <f>IF(W49="OK",SBLine66(1,A49:G49,$A$11:$N$20,$AH$31:$AK$50),"")</f>
        <v/>
      </c>
      <c r="M49" s="190" t="str">
        <f>IF(W49="OK",SBLine66(2,A49:G49,$A$11:$N$20,$AH$31:$AK$50),"")</f>
        <v/>
      </c>
      <c r="N49" s="190" t="str">
        <f>IF(W49="OK",SBLine66(3,A49:G49,$A$11:$N$20,$AH$31:$AK$50),"")</f>
        <v/>
      </c>
      <c r="O49" s="190" t="str">
        <f>IF(W49="OK",SBLine66(4,A49:G49,$A$11:$N$20,$AH$31:$AK$50),"")</f>
        <v/>
      </c>
      <c r="P49" s="190" t="str">
        <f t="shared" si="10"/>
        <v/>
      </c>
      <c r="Q49" s="190" t="str">
        <f>IF(W49="OK",SBEffect66(3,A49:G49,L49:O49,$AH$31:$AK$50),"")</f>
        <v/>
      </c>
      <c r="R49" s="190" t="str">
        <f>IF(W49="OK",SBEffect66(4,A49:G49,L49:O49,$AH$31:$AK$50),"")</f>
        <v/>
      </c>
      <c r="S49" s="190" t="str">
        <f>IF(W49="OK",SBEffect66(5,A49:G49,L49:O49,$AH$31:$AK$50),"")</f>
        <v/>
      </c>
      <c r="T49" s="190" t="str">
        <f>IF(W49="OK",SBEffect66(6,A49:G49,L49:O49,$AH$31:$AK$50),"")</f>
        <v/>
      </c>
      <c r="U49" s="190" t="str">
        <f>IF(COUNTIF(RCLoadResults73[Member],A49),INDEX(RCLoadResults73[M],MATCH(A49,RCLoadResults73[Member],0)),IF(W49="OK",SBEffect66(1,A49:G49,L49:O49,$AH$31:$AK$50),""))</f>
        <v/>
      </c>
      <c r="V49" s="190" t="str">
        <f>IF(COUNTIF(RCLoadResults73[Member],A49),INDEX(RCLoadResults73[V],MATCH(A49,RCLoadResults73[Member],0)),IF(W49="OK",SBEffect66(2,A49:G49,L49:O49,$AH$31:$AK$50),""))</f>
        <v/>
      </c>
      <c r="W49" s="190" t="str">
        <f>IF(COUNTIF(RCLoadResults73[Member],A49),INDEX(RCLoadResults73[Status],MATCH(A49,RCLoadResults73[Member],0)),SBStatus66(A49:G49,$A$31:$G$50,$A$11:$N$20,$AH$31:$AK$50))</f>
        <v>UNUSED</v>
      </c>
      <c r="X49" s="190" t="str">
        <f t="shared" si="11"/>
        <v>UNUSED</v>
      </c>
      <c r="Y49" s="190" t="str">
        <f>IF(NOT(InputRowUsed73(A49:G49,"SB")),"",IF($F$4="","ENTER FIRE HOURS",IF(COUNTIF('Section B Concrete Cover'!$B$6:$D$6,$F$4)&lt;&gt;1,"CHECK FIRE HOURS",IF(G49&lt;&gt;"Simply-supported","CHECK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9" s="196" t="str">
        <f t="shared" si="12"/>
        <v/>
      </c>
      <c r="AI49" s="196" t="str">
        <f t="shared" si="13"/>
        <v/>
      </c>
      <c r="AJ49" s="196" t="str">
        <f t="shared" si="14"/>
        <v/>
      </c>
      <c r="AK49" s="197" t="str">
        <f t="shared" si="15"/>
        <v/>
      </c>
    </row>
    <row r="50" spans="1:37" ht="24" customHeight="1">
      <c r="A50" s="198" t="s">
        <v>861</v>
      </c>
      <c r="B50" s="107"/>
      <c r="C50" s="108"/>
      <c r="D50" s="108"/>
      <c r="E50" s="107"/>
      <c r="F50" s="107"/>
      <c r="G50" s="199" t="s">
        <v>204</v>
      </c>
      <c r="H50" s="190" t="str">
        <f t="shared" si="6"/>
        <v/>
      </c>
      <c r="I50" s="190" t="str">
        <f t="shared" si="7"/>
        <v/>
      </c>
      <c r="J50" s="190" t="str">
        <f t="shared" si="8"/>
        <v/>
      </c>
      <c r="K50" s="190" t="str">
        <f t="shared" si="9"/>
        <v/>
      </c>
      <c r="L50" s="190" t="str">
        <f>IF(W50="OK",SBLine66(1,A50:G50,$A$11:$N$20,$AH$31:$AK$50),"")</f>
        <v/>
      </c>
      <c r="M50" s="190" t="str">
        <f>IF(W50="OK",SBLine66(2,A50:G50,$A$11:$N$20,$AH$31:$AK$50),"")</f>
        <v/>
      </c>
      <c r="N50" s="190" t="str">
        <f>IF(W50="OK",SBLine66(3,A50:G50,$A$11:$N$20,$AH$31:$AK$50),"")</f>
        <v/>
      </c>
      <c r="O50" s="190" t="str">
        <f>IF(W50="OK",SBLine66(4,A50:G50,$A$11:$N$20,$AH$31:$AK$50),"")</f>
        <v/>
      </c>
      <c r="P50" s="190" t="str">
        <f t="shared" si="10"/>
        <v/>
      </c>
      <c r="Q50" s="190" t="str">
        <f>IF(W50="OK",SBEffect66(3,A50:G50,L50:O50,$AH$31:$AK$50),"")</f>
        <v/>
      </c>
      <c r="R50" s="190" t="str">
        <f>IF(W50="OK",SBEffect66(4,A50:G50,L50:O50,$AH$31:$AK$50),"")</f>
        <v/>
      </c>
      <c r="S50" s="190" t="str">
        <f>IF(W50="OK",SBEffect66(5,A50:G50,L50:O50,$AH$31:$AK$50),"")</f>
        <v/>
      </c>
      <c r="T50" s="190" t="str">
        <f>IF(W50="OK",SBEffect66(6,A50:G50,L50:O50,$AH$31:$AK$50),"")</f>
        <v/>
      </c>
      <c r="U50" s="190" t="str">
        <f>IF(COUNTIF(RCLoadResults73[Member],A50),INDEX(RCLoadResults73[M],MATCH(A50,RCLoadResults73[Member],0)),IF(W50="OK",SBEffect66(1,A50:G50,L50:O50,$AH$31:$AK$50),""))</f>
        <v/>
      </c>
      <c r="V50" s="190" t="str">
        <f>IF(COUNTIF(RCLoadResults73[Member],A50),INDEX(RCLoadResults73[V],MATCH(A50,RCLoadResults73[Member],0)),IF(W50="OK",SBEffect66(2,A50:G50,L50:O50,$AH$31:$AK$50),""))</f>
        <v/>
      </c>
      <c r="W50" s="190" t="str">
        <f>IF(COUNTIF(RCLoadResults73[Member],A50),INDEX(RCLoadResults73[Status],MATCH(A50,RCLoadResults73[Member],0)),SBStatus66(A50:G50,$A$31:$G$50,$A$11:$N$20,$AH$31:$AK$50))</f>
        <v>UNUSED</v>
      </c>
      <c r="X50" s="190" t="str">
        <f t="shared" si="11"/>
        <v>UNUSED</v>
      </c>
      <c r="Y50" s="190" t="str">
        <f>IF(NOT(InputRowUsed73(A50:G50,"SB")),"",IF($F$4="","ENTER FIRE HOURS",IF(COUNTIF('Section B Concrete Cover'!$B$6:$D$6,$F$4)&lt;&gt;1,"CHECK FIRE HOURS",IF(G50&lt;&gt;"Simply-supported","CHECK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50" s="196" t="str">
        <f t="shared" si="12"/>
        <v/>
      </c>
      <c r="AI50" s="196" t="str">
        <f t="shared" si="13"/>
        <v/>
      </c>
      <c r="AJ50" s="196" t="str">
        <f t="shared" si="14"/>
        <v/>
      </c>
      <c r="AK50" s="197" t="str">
        <f t="shared" si="15"/>
        <v/>
      </c>
    </row>
    <row r="51" spans="1:37" ht="7.9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00"/>
      <c r="AA51" s="100"/>
      <c r="AB51" s="100"/>
      <c r="AC51" s="100"/>
      <c r="AD51" s="100"/>
      <c r="AE51" s="100"/>
      <c r="AF51" s="100"/>
    </row>
    <row r="52" spans="1:37" ht="7.9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00"/>
      <c r="AA52" s="100"/>
      <c r="AB52" s="100"/>
      <c r="AC52" s="100"/>
      <c r="AD52" s="100"/>
      <c r="AE52" s="100"/>
      <c r="AF52" s="100"/>
    </row>
    <row r="53" spans="1:37" ht="7.9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00"/>
      <c r="AA53" s="100"/>
      <c r="AB53" s="100"/>
      <c r="AC53" s="100"/>
      <c r="AD53" s="100"/>
      <c r="AE53" s="100"/>
      <c r="AF53" s="100"/>
    </row>
    <row r="54" spans="1:37" ht="7.9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00"/>
      <c r="AA54" s="100"/>
      <c r="AB54" s="100"/>
      <c r="AC54" s="100"/>
      <c r="AD54" s="100"/>
      <c r="AE54" s="100"/>
      <c r="AF54" s="100"/>
    </row>
    <row r="55" spans="1:37" ht="7.9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00"/>
      <c r="AA55" s="100"/>
      <c r="AB55" s="100"/>
      <c r="AC55" s="100"/>
      <c r="AD55" s="100"/>
      <c r="AE55" s="100"/>
      <c r="AF55" s="100"/>
    </row>
    <row r="56" spans="1:37" ht="13.8" customHeight="1">
      <c r="A56" s="410" t="s">
        <v>908</v>
      </c>
      <c r="B56" s="410"/>
      <c r="C56" s="410"/>
      <c r="D56" s="410"/>
      <c r="E56" s="410"/>
      <c r="F56" s="110"/>
      <c r="G56" s="430" t="s">
        <v>909</v>
      </c>
      <c r="H56" s="430"/>
      <c r="I56" s="430"/>
      <c r="J56" s="430"/>
      <c r="K56" s="430"/>
      <c r="L56" s="110"/>
      <c r="M56" s="430" t="s">
        <v>914</v>
      </c>
      <c r="N56" s="430"/>
      <c r="O56" s="430"/>
      <c r="P56" s="430"/>
      <c r="Q56" s="430"/>
      <c r="R56" s="430"/>
      <c r="S56" s="430"/>
      <c r="T56" s="110"/>
      <c r="U56" s="110"/>
      <c r="V56" s="110"/>
      <c r="W56" s="110"/>
      <c r="X56" s="110"/>
      <c r="Y56" s="110"/>
    </row>
    <row r="57" spans="1:37" ht="13.8" customHeight="1">
      <c r="A57" s="410"/>
      <c r="B57" s="410"/>
      <c r="C57" s="410"/>
      <c r="D57" s="410"/>
      <c r="E57" s="410"/>
      <c r="F57" s="110"/>
      <c r="G57" s="430"/>
      <c r="H57" s="430"/>
      <c r="I57" s="430"/>
      <c r="J57" s="430"/>
      <c r="K57" s="430"/>
      <c r="L57" s="110"/>
      <c r="M57" s="430"/>
      <c r="N57" s="430"/>
      <c r="O57" s="430"/>
      <c r="P57" s="430"/>
      <c r="Q57" s="430"/>
      <c r="R57" s="430"/>
      <c r="S57" s="430"/>
      <c r="T57" s="110"/>
      <c r="U57" s="110"/>
      <c r="V57" s="110"/>
      <c r="W57" s="110"/>
      <c r="X57" s="110"/>
      <c r="Y57" s="110"/>
    </row>
    <row r="58" spans="1:37" ht="13.8" customHeight="1">
      <c r="A58" s="412" t="s">
        <v>974</v>
      </c>
      <c r="B58" s="412"/>
      <c r="C58" s="412"/>
      <c r="D58" s="412"/>
      <c r="E58" s="412"/>
      <c r="F58" s="110"/>
      <c r="G58" s="431" t="s">
        <v>975</v>
      </c>
      <c r="H58" s="431"/>
      <c r="I58" s="431"/>
      <c r="J58" s="431"/>
      <c r="K58" s="431"/>
      <c r="L58" s="110"/>
      <c r="M58" s="431" t="s">
        <v>1110</v>
      </c>
      <c r="N58" s="431"/>
      <c r="O58" s="431"/>
      <c r="P58" s="431"/>
      <c r="Q58" s="431"/>
      <c r="R58" s="431"/>
      <c r="S58" s="431"/>
      <c r="T58" s="110"/>
      <c r="U58" s="110"/>
      <c r="V58" s="110"/>
      <c r="W58" s="110"/>
      <c r="X58" s="110"/>
      <c r="Y58" s="110"/>
    </row>
    <row r="59" spans="1:37" ht="13.8" customHeight="1">
      <c r="A59" s="427"/>
      <c r="B59" s="427"/>
      <c r="C59" s="427"/>
      <c r="D59" s="427"/>
      <c r="E59" s="427"/>
      <c r="F59" s="110"/>
      <c r="G59" s="432"/>
      <c r="H59" s="432"/>
      <c r="I59" s="432"/>
      <c r="J59" s="432"/>
      <c r="K59" s="432"/>
      <c r="L59" s="110"/>
      <c r="M59" s="431"/>
      <c r="N59" s="431"/>
      <c r="O59" s="431"/>
      <c r="P59" s="431"/>
      <c r="Q59" s="431"/>
      <c r="R59" s="431"/>
      <c r="S59" s="431"/>
      <c r="T59" s="110"/>
      <c r="U59" s="110"/>
      <c r="V59" s="110"/>
      <c r="W59" s="110"/>
      <c r="X59" s="110"/>
      <c r="Y59" s="110"/>
    </row>
    <row r="60" spans="1:37" ht="34.049999999999997" customHeight="1">
      <c r="A60" s="105" t="s">
        <v>783</v>
      </c>
      <c r="B60" s="105" t="s">
        <v>335</v>
      </c>
      <c r="C60" s="105" t="s">
        <v>784</v>
      </c>
      <c r="D60" s="105" t="s">
        <v>785</v>
      </c>
      <c r="E60" s="105" t="s">
        <v>719</v>
      </c>
      <c r="F60" s="110"/>
      <c r="G60" s="105" t="s">
        <v>892</v>
      </c>
      <c r="H60" s="105" t="s">
        <v>912</v>
      </c>
      <c r="I60" s="105" t="s">
        <v>893</v>
      </c>
      <c r="J60" s="105" t="s">
        <v>913</v>
      </c>
      <c r="K60" s="105" t="s">
        <v>894</v>
      </c>
      <c r="L60" s="194" t="s">
        <v>895</v>
      </c>
      <c r="M60" s="194" t="s">
        <v>896</v>
      </c>
      <c r="N60" s="194" t="s">
        <v>897</v>
      </c>
      <c r="O60" s="194" t="s">
        <v>898</v>
      </c>
      <c r="P60" s="194" t="s">
        <v>899</v>
      </c>
      <c r="Q60" s="150"/>
      <c r="R60" s="110"/>
      <c r="S60" s="110"/>
      <c r="T60" s="110"/>
      <c r="U60" s="110"/>
      <c r="V60" s="110"/>
      <c r="W60" s="110"/>
      <c r="X60" s="110"/>
      <c r="Y60" s="110"/>
      <c r="AH60" s="101" t="s">
        <v>786</v>
      </c>
    </row>
    <row r="61" spans="1:37" ht="24" customHeight="1">
      <c r="A61" s="198" t="s">
        <v>109</v>
      </c>
      <c r="B61" s="107"/>
      <c r="C61" s="108"/>
      <c r="D61" s="108"/>
      <c r="E61" s="199" t="s">
        <v>204</v>
      </c>
      <c r="F61" s="110"/>
      <c r="G61" s="106"/>
      <c r="H61" s="107"/>
      <c r="I61" s="108"/>
      <c r="J61" s="108"/>
      <c r="K61" s="191" t="str">
        <f t="shared" ref="K61:K80" si="16">ConnectionStatus75(G61:J61,$G$61:$J$80,$A$61:$E$80,$A$31:$G$50,$X$31:$X$50)</f>
        <v>UNUSED</v>
      </c>
      <c r="L61" s="190" t="str">
        <f t="shared" ref="L61:L80" si="17">IF(K61="OK",INDEX($Q$31:$Q$50,MATCH(H61,$A$31:$A$50,0)),"")</f>
        <v/>
      </c>
      <c r="M61" s="190" t="str">
        <f t="shared" ref="M61:M80" si="18">IF(K61="OK",INDEX($R$31:$R$50,MATCH(H61,$A$31:$A$50,0)),"")</f>
        <v/>
      </c>
      <c r="N61" s="190" t="str">
        <f t="shared" ref="N61:N80" si="19">IF(K61="OK",INDEX($S$31:$S$50,MATCH(H61,$A$31:$A$50,0)),"")</f>
        <v/>
      </c>
      <c r="O61" s="190" t="str">
        <f t="shared" ref="O61:O80" si="20">IF(K61="OK",INDEX($T$31:$T$50,MATCH(H61,$A$31:$A$50,0)),"")</f>
        <v/>
      </c>
      <c r="P61" s="190" t="str">
        <f t="shared" ref="P61:P80" si="21">IF(K61="OK",1.4*(L61+M61+N61)+1.6*O61,"")</f>
        <v/>
      </c>
      <c r="Q61" s="150"/>
      <c r="R61" s="110"/>
      <c r="S61" s="110"/>
      <c r="T61" s="110"/>
      <c r="U61" s="110"/>
      <c r="V61" s="110"/>
      <c r="W61" s="110"/>
      <c r="X61" s="110"/>
      <c r="Y61" s="110"/>
      <c r="AH61" s="197" t="str">
        <f t="shared" ref="AH61:AH80" si="22">IF($C$4="","",$C$4)</f>
        <v/>
      </c>
    </row>
    <row r="62" spans="1:37" ht="24" customHeight="1">
      <c r="A62" s="198" t="s">
        <v>862</v>
      </c>
      <c r="B62" s="107"/>
      <c r="C62" s="108"/>
      <c r="D62" s="108"/>
      <c r="E62" s="199" t="s">
        <v>204</v>
      </c>
      <c r="F62" s="110"/>
      <c r="G62" s="106"/>
      <c r="H62" s="107"/>
      <c r="I62" s="108"/>
      <c r="J62" s="108"/>
      <c r="K62" s="191" t="str">
        <f t="shared" si="16"/>
        <v>UNUSED</v>
      </c>
      <c r="L62" s="190" t="str">
        <f t="shared" si="17"/>
        <v/>
      </c>
      <c r="M62" s="190" t="str">
        <f t="shared" si="18"/>
        <v/>
      </c>
      <c r="N62" s="190" t="str">
        <f t="shared" si="19"/>
        <v/>
      </c>
      <c r="O62" s="190" t="str">
        <f t="shared" si="20"/>
        <v/>
      </c>
      <c r="P62" s="190" t="str">
        <f t="shared" si="21"/>
        <v/>
      </c>
      <c r="Q62" s="150"/>
      <c r="R62" s="110"/>
      <c r="S62" s="110"/>
      <c r="T62" s="110"/>
      <c r="U62" s="110"/>
      <c r="V62" s="110"/>
      <c r="W62" s="110"/>
      <c r="X62" s="110"/>
      <c r="Y62" s="110"/>
      <c r="AH62" s="197" t="str">
        <f t="shared" si="22"/>
        <v/>
      </c>
    </row>
    <row r="63" spans="1:37" ht="24" customHeight="1">
      <c r="A63" s="198" t="s">
        <v>863</v>
      </c>
      <c r="B63" s="107"/>
      <c r="C63" s="108"/>
      <c r="D63" s="108"/>
      <c r="E63" s="199" t="s">
        <v>204</v>
      </c>
      <c r="F63" s="110"/>
      <c r="G63" s="106"/>
      <c r="H63" s="107"/>
      <c r="I63" s="108"/>
      <c r="J63" s="108"/>
      <c r="K63" s="191" t="str">
        <f t="shared" si="16"/>
        <v>UNUSED</v>
      </c>
      <c r="L63" s="190" t="str">
        <f t="shared" si="17"/>
        <v/>
      </c>
      <c r="M63" s="190" t="str">
        <f t="shared" si="18"/>
        <v/>
      </c>
      <c r="N63" s="190" t="str">
        <f t="shared" si="19"/>
        <v/>
      </c>
      <c r="O63" s="190" t="str">
        <f t="shared" si="20"/>
        <v/>
      </c>
      <c r="P63" s="190" t="str">
        <f t="shared" si="21"/>
        <v/>
      </c>
      <c r="Q63" s="150"/>
      <c r="R63" s="110"/>
      <c r="S63" s="110"/>
      <c r="T63" s="110"/>
      <c r="U63" s="110"/>
      <c r="V63" s="110"/>
      <c r="W63" s="110"/>
      <c r="X63" s="110"/>
      <c r="Y63" s="110"/>
      <c r="AH63" s="197" t="str">
        <f t="shared" si="22"/>
        <v/>
      </c>
    </row>
    <row r="64" spans="1:37" ht="24" customHeight="1">
      <c r="A64" s="198" t="s">
        <v>864</v>
      </c>
      <c r="B64" s="107"/>
      <c r="C64" s="108"/>
      <c r="D64" s="108"/>
      <c r="E64" s="199" t="s">
        <v>204</v>
      </c>
      <c r="F64" s="110"/>
      <c r="G64" s="106"/>
      <c r="H64" s="107"/>
      <c r="I64" s="108"/>
      <c r="J64" s="108"/>
      <c r="K64" s="191" t="str">
        <f t="shared" si="16"/>
        <v>UNUSED</v>
      </c>
      <c r="L64" s="190" t="str">
        <f t="shared" si="17"/>
        <v/>
      </c>
      <c r="M64" s="190" t="str">
        <f t="shared" si="18"/>
        <v/>
      </c>
      <c r="N64" s="190" t="str">
        <f t="shared" si="19"/>
        <v/>
      </c>
      <c r="O64" s="190" t="str">
        <f t="shared" si="20"/>
        <v/>
      </c>
      <c r="P64" s="190" t="str">
        <f t="shared" si="21"/>
        <v/>
      </c>
      <c r="Q64" s="150"/>
      <c r="R64" s="110"/>
      <c r="S64" s="110"/>
      <c r="T64" s="110"/>
      <c r="U64" s="110"/>
      <c r="V64" s="110"/>
      <c r="W64" s="110"/>
      <c r="X64" s="110"/>
      <c r="Y64" s="110"/>
      <c r="AH64" s="197" t="str">
        <f t="shared" si="22"/>
        <v/>
      </c>
    </row>
    <row r="65" spans="1:34" ht="24" customHeight="1">
      <c r="A65" s="198" t="s">
        <v>865</v>
      </c>
      <c r="B65" s="107"/>
      <c r="C65" s="108"/>
      <c r="D65" s="108"/>
      <c r="E65" s="199" t="s">
        <v>204</v>
      </c>
      <c r="F65" s="110"/>
      <c r="G65" s="106"/>
      <c r="H65" s="107"/>
      <c r="I65" s="108"/>
      <c r="J65" s="108"/>
      <c r="K65" s="191" t="str">
        <f t="shared" si="16"/>
        <v>UNUSED</v>
      </c>
      <c r="L65" s="190" t="str">
        <f t="shared" si="17"/>
        <v/>
      </c>
      <c r="M65" s="190" t="str">
        <f t="shared" si="18"/>
        <v/>
      </c>
      <c r="N65" s="190" t="str">
        <f t="shared" si="19"/>
        <v/>
      </c>
      <c r="O65" s="190" t="str">
        <f t="shared" si="20"/>
        <v/>
      </c>
      <c r="P65" s="190" t="str">
        <f t="shared" si="21"/>
        <v/>
      </c>
      <c r="Q65" s="150"/>
      <c r="R65" s="110"/>
      <c r="S65" s="110"/>
      <c r="T65" s="110"/>
      <c r="U65" s="110"/>
      <c r="V65" s="110"/>
      <c r="W65" s="110"/>
      <c r="X65" s="110"/>
      <c r="Y65" s="110"/>
      <c r="AH65" s="197" t="str">
        <f t="shared" si="22"/>
        <v/>
      </c>
    </row>
    <row r="66" spans="1:34" ht="24" customHeight="1">
      <c r="A66" s="198" t="s">
        <v>866</v>
      </c>
      <c r="B66" s="107"/>
      <c r="C66" s="108"/>
      <c r="D66" s="108"/>
      <c r="E66" s="199" t="s">
        <v>204</v>
      </c>
      <c r="F66" s="110"/>
      <c r="G66" s="106"/>
      <c r="H66" s="107"/>
      <c r="I66" s="108"/>
      <c r="J66" s="108"/>
      <c r="K66" s="191" t="str">
        <f t="shared" si="16"/>
        <v>UNUSED</v>
      </c>
      <c r="L66" s="190" t="str">
        <f t="shared" si="17"/>
        <v/>
      </c>
      <c r="M66" s="190" t="str">
        <f t="shared" si="18"/>
        <v/>
      </c>
      <c r="N66" s="190" t="str">
        <f t="shared" si="19"/>
        <v/>
      </c>
      <c r="O66" s="190" t="str">
        <f t="shared" si="20"/>
        <v/>
      </c>
      <c r="P66" s="190" t="str">
        <f t="shared" si="21"/>
        <v/>
      </c>
      <c r="Q66" s="150"/>
      <c r="R66" s="110"/>
      <c r="S66" s="110"/>
      <c r="T66" s="110"/>
      <c r="U66" s="110"/>
      <c r="V66" s="110"/>
      <c r="W66" s="110"/>
      <c r="X66" s="110"/>
      <c r="Y66" s="110"/>
      <c r="AH66" s="197" t="str">
        <f t="shared" si="22"/>
        <v/>
      </c>
    </row>
    <row r="67" spans="1:34" ht="24" customHeight="1">
      <c r="A67" s="198" t="s">
        <v>867</v>
      </c>
      <c r="B67" s="107"/>
      <c r="C67" s="108"/>
      <c r="D67" s="108"/>
      <c r="E67" s="199" t="s">
        <v>204</v>
      </c>
      <c r="F67" s="110"/>
      <c r="G67" s="106"/>
      <c r="H67" s="107"/>
      <c r="I67" s="108"/>
      <c r="J67" s="108"/>
      <c r="K67" s="191" t="str">
        <f t="shared" si="16"/>
        <v>UNUSED</v>
      </c>
      <c r="L67" s="190" t="str">
        <f t="shared" si="17"/>
        <v/>
      </c>
      <c r="M67" s="190" t="str">
        <f t="shared" si="18"/>
        <v/>
      </c>
      <c r="N67" s="190" t="str">
        <f t="shared" si="19"/>
        <v/>
      </c>
      <c r="O67" s="190" t="str">
        <f t="shared" si="20"/>
        <v/>
      </c>
      <c r="P67" s="190" t="str">
        <f t="shared" si="21"/>
        <v/>
      </c>
      <c r="Q67" s="150"/>
      <c r="R67" s="110"/>
      <c r="S67" s="110"/>
      <c r="T67" s="110"/>
      <c r="U67" s="110"/>
      <c r="V67" s="110"/>
      <c r="W67" s="110"/>
      <c r="X67" s="110"/>
      <c r="Y67" s="110"/>
      <c r="AH67" s="197" t="str">
        <f t="shared" si="22"/>
        <v/>
      </c>
    </row>
    <row r="68" spans="1:34" ht="24" customHeight="1">
      <c r="A68" s="198" t="s">
        <v>868</v>
      </c>
      <c r="B68" s="107"/>
      <c r="C68" s="108"/>
      <c r="D68" s="108"/>
      <c r="E68" s="199" t="s">
        <v>204</v>
      </c>
      <c r="F68" s="110"/>
      <c r="G68" s="106"/>
      <c r="H68" s="107"/>
      <c r="I68" s="108"/>
      <c r="J68" s="108"/>
      <c r="K68" s="191" t="str">
        <f t="shared" si="16"/>
        <v>UNUSED</v>
      </c>
      <c r="L68" s="190" t="str">
        <f t="shared" si="17"/>
        <v/>
      </c>
      <c r="M68" s="190" t="str">
        <f t="shared" si="18"/>
        <v/>
      </c>
      <c r="N68" s="190" t="str">
        <f t="shared" si="19"/>
        <v/>
      </c>
      <c r="O68" s="190" t="str">
        <f t="shared" si="20"/>
        <v/>
      </c>
      <c r="P68" s="190" t="str">
        <f t="shared" si="21"/>
        <v/>
      </c>
      <c r="Q68" s="150"/>
      <c r="R68" s="110"/>
      <c r="S68" s="110"/>
      <c r="T68" s="110"/>
      <c r="U68" s="110"/>
      <c r="V68" s="110"/>
      <c r="W68" s="110"/>
      <c r="X68" s="110"/>
      <c r="Y68" s="110"/>
      <c r="AH68" s="197" t="str">
        <f t="shared" si="22"/>
        <v/>
      </c>
    </row>
    <row r="69" spans="1:34" ht="24" customHeight="1">
      <c r="A69" s="198" t="s">
        <v>869</v>
      </c>
      <c r="B69" s="107"/>
      <c r="C69" s="108"/>
      <c r="D69" s="108"/>
      <c r="E69" s="199" t="s">
        <v>204</v>
      </c>
      <c r="F69" s="110"/>
      <c r="G69" s="106"/>
      <c r="H69" s="107"/>
      <c r="I69" s="108"/>
      <c r="J69" s="108"/>
      <c r="K69" s="191" t="str">
        <f t="shared" si="16"/>
        <v>UNUSED</v>
      </c>
      <c r="L69" s="190" t="str">
        <f t="shared" si="17"/>
        <v/>
      </c>
      <c r="M69" s="190" t="str">
        <f t="shared" si="18"/>
        <v/>
      </c>
      <c r="N69" s="190" t="str">
        <f t="shared" si="19"/>
        <v/>
      </c>
      <c r="O69" s="190" t="str">
        <f t="shared" si="20"/>
        <v/>
      </c>
      <c r="P69" s="190" t="str">
        <f t="shared" si="21"/>
        <v/>
      </c>
      <c r="Q69" s="150"/>
      <c r="R69" s="110"/>
      <c r="S69" s="110"/>
      <c r="T69" s="110"/>
      <c r="U69" s="110"/>
      <c r="V69" s="110"/>
      <c r="W69" s="110"/>
      <c r="X69" s="110"/>
      <c r="Y69" s="110"/>
      <c r="AH69" s="197" t="str">
        <f t="shared" si="22"/>
        <v/>
      </c>
    </row>
    <row r="70" spans="1:34" ht="24" customHeight="1">
      <c r="A70" s="198" t="s">
        <v>870</v>
      </c>
      <c r="B70" s="107"/>
      <c r="C70" s="108"/>
      <c r="D70" s="108"/>
      <c r="E70" s="199" t="s">
        <v>204</v>
      </c>
      <c r="F70" s="110"/>
      <c r="G70" s="106"/>
      <c r="H70" s="107"/>
      <c r="I70" s="108"/>
      <c r="J70" s="108"/>
      <c r="K70" s="191" t="str">
        <f t="shared" si="16"/>
        <v>UNUSED</v>
      </c>
      <c r="L70" s="190" t="str">
        <f t="shared" si="17"/>
        <v/>
      </c>
      <c r="M70" s="190" t="str">
        <f t="shared" si="18"/>
        <v/>
      </c>
      <c r="N70" s="190" t="str">
        <f t="shared" si="19"/>
        <v/>
      </c>
      <c r="O70" s="190" t="str">
        <f t="shared" si="20"/>
        <v/>
      </c>
      <c r="P70" s="190" t="str">
        <f t="shared" si="21"/>
        <v/>
      </c>
      <c r="Q70" s="150"/>
      <c r="R70" s="110"/>
      <c r="S70" s="110"/>
      <c r="T70" s="110"/>
      <c r="U70" s="110"/>
      <c r="V70" s="110"/>
      <c r="W70" s="110"/>
      <c r="X70" s="110"/>
      <c r="Y70" s="110"/>
      <c r="AH70" s="197" t="str">
        <f t="shared" si="22"/>
        <v/>
      </c>
    </row>
    <row r="71" spans="1:34" ht="24" customHeight="1">
      <c r="A71" s="198" t="s">
        <v>871</v>
      </c>
      <c r="B71" s="107"/>
      <c r="C71" s="108"/>
      <c r="D71" s="108"/>
      <c r="E71" s="199" t="s">
        <v>204</v>
      </c>
      <c r="F71" s="110"/>
      <c r="G71" s="106"/>
      <c r="H71" s="107"/>
      <c r="I71" s="108"/>
      <c r="J71" s="108"/>
      <c r="K71" s="191" t="str">
        <f t="shared" si="16"/>
        <v>UNUSED</v>
      </c>
      <c r="L71" s="190" t="str">
        <f t="shared" si="17"/>
        <v/>
      </c>
      <c r="M71" s="190" t="str">
        <f t="shared" si="18"/>
        <v/>
      </c>
      <c r="N71" s="190" t="str">
        <f t="shared" si="19"/>
        <v/>
      </c>
      <c r="O71" s="190" t="str">
        <f t="shared" si="20"/>
        <v/>
      </c>
      <c r="P71" s="190" t="str">
        <f t="shared" si="21"/>
        <v/>
      </c>
      <c r="Q71" s="150"/>
      <c r="R71" s="110"/>
      <c r="S71" s="110"/>
      <c r="T71" s="110"/>
      <c r="U71" s="110"/>
      <c r="V71" s="110"/>
      <c r="W71" s="110"/>
      <c r="X71" s="110"/>
      <c r="Y71" s="110"/>
      <c r="AH71" s="197" t="str">
        <f t="shared" si="22"/>
        <v/>
      </c>
    </row>
    <row r="72" spans="1:34" ht="24" customHeight="1">
      <c r="A72" s="198" t="s">
        <v>872</v>
      </c>
      <c r="B72" s="107"/>
      <c r="C72" s="108"/>
      <c r="D72" s="108"/>
      <c r="E72" s="199" t="s">
        <v>204</v>
      </c>
      <c r="F72" s="110"/>
      <c r="G72" s="106"/>
      <c r="H72" s="107"/>
      <c r="I72" s="108"/>
      <c r="J72" s="108"/>
      <c r="K72" s="191" t="str">
        <f t="shared" si="16"/>
        <v>UNUSED</v>
      </c>
      <c r="L72" s="190" t="str">
        <f t="shared" si="17"/>
        <v/>
      </c>
      <c r="M72" s="190" t="str">
        <f t="shared" si="18"/>
        <v/>
      </c>
      <c r="N72" s="190" t="str">
        <f t="shared" si="19"/>
        <v/>
      </c>
      <c r="O72" s="190" t="str">
        <f t="shared" si="20"/>
        <v/>
      </c>
      <c r="P72" s="190" t="str">
        <f t="shared" si="21"/>
        <v/>
      </c>
      <c r="Q72" s="150"/>
      <c r="R72" s="110"/>
      <c r="S72" s="110"/>
      <c r="T72" s="110"/>
      <c r="U72" s="110"/>
      <c r="V72" s="110"/>
      <c r="W72" s="110"/>
      <c r="X72" s="110"/>
      <c r="Y72" s="110"/>
      <c r="AH72" s="197" t="str">
        <f t="shared" si="22"/>
        <v/>
      </c>
    </row>
    <row r="73" spans="1:34" ht="24" customHeight="1">
      <c r="A73" s="198" t="s">
        <v>873</v>
      </c>
      <c r="B73" s="107"/>
      <c r="C73" s="108"/>
      <c r="D73" s="108"/>
      <c r="E73" s="199" t="s">
        <v>204</v>
      </c>
      <c r="F73" s="110"/>
      <c r="G73" s="106"/>
      <c r="H73" s="107"/>
      <c r="I73" s="108"/>
      <c r="J73" s="108"/>
      <c r="K73" s="191" t="str">
        <f t="shared" si="16"/>
        <v>UNUSED</v>
      </c>
      <c r="L73" s="190" t="str">
        <f t="shared" si="17"/>
        <v/>
      </c>
      <c r="M73" s="190" t="str">
        <f t="shared" si="18"/>
        <v/>
      </c>
      <c r="N73" s="190" t="str">
        <f t="shared" si="19"/>
        <v/>
      </c>
      <c r="O73" s="190" t="str">
        <f t="shared" si="20"/>
        <v/>
      </c>
      <c r="P73" s="190" t="str">
        <f t="shared" si="21"/>
        <v/>
      </c>
      <c r="Q73" s="150"/>
      <c r="R73" s="110"/>
      <c r="S73" s="110"/>
      <c r="T73" s="110"/>
      <c r="U73" s="110"/>
      <c r="V73" s="110"/>
      <c r="W73" s="110"/>
      <c r="X73" s="110"/>
      <c r="Y73" s="110"/>
      <c r="AH73" s="197" t="str">
        <f t="shared" si="22"/>
        <v/>
      </c>
    </row>
    <row r="74" spans="1:34" ht="24" customHeight="1">
      <c r="A74" s="198" t="s">
        <v>874</v>
      </c>
      <c r="B74" s="107"/>
      <c r="C74" s="108"/>
      <c r="D74" s="108"/>
      <c r="E74" s="199" t="s">
        <v>204</v>
      </c>
      <c r="F74" s="110"/>
      <c r="G74" s="106"/>
      <c r="H74" s="107"/>
      <c r="I74" s="108"/>
      <c r="J74" s="108"/>
      <c r="K74" s="191" t="str">
        <f t="shared" si="16"/>
        <v>UNUSED</v>
      </c>
      <c r="L74" s="190" t="str">
        <f t="shared" si="17"/>
        <v/>
      </c>
      <c r="M74" s="190" t="str">
        <f t="shared" si="18"/>
        <v/>
      </c>
      <c r="N74" s="190" t="str">
        <f t="shared" si="19"/>
        <v/>
      </c>
      <c r="O74" s="190" t="str">
        <f t="shared" si="20"/>
        <v/>
      </c>
      <c r="P74" s="190" t="str">
        <f t="shared" si="21"/>
        <v/>
      </c>
      <c r="Q74" s="150"/>
      <c r="R74" s="110"/>
      <c r="S74" s="110"/>
      <c r="T74" s="110"/>
      <c r="U74" s="110"/>
      <c r="V74" s="110"/>
      <c r="W74" s="110"/>
      <c r="X74" s="110"/>
      <c r="Y74" s="110"/>
      <c r="AH74" s="197" t="str">
        <f t="shared" si="22"/>
        <v/>
      </c>
    </row>
    <row r="75" spans="1:34" ht="24" customHeight="1">
      <c r="A75" s="198" t="s">
        <v>875</v>
      </c>
      <c r="B75" s="107"/>
      <c r="C75" s="108"/>
      <c r="D75" s="108"/>
      <c r="E75" s="199" t="s">
        <v>204</v>
      </c>
      <c r="F75" s="110"/>
      <c r="G75" s="106"/>
      <c r="H75" s="107"/>
      <c r="I75" s="108"/>
      <c r="J75" s="108"/>
      <c r="K75" s="191" t="str">
        <f t="shared" si="16"/>
        <v>UNUSED</v>
      </c>
      <c r="L75" s="190" t="str">
        <f t="shared" si="17"/>
        <v/>
      </c>
      <c r="M75" s="190" t="str">
        <f t="shared" si="18"/>
        <v/>
      </c>
      <c r="N75" s="190" t="str">
        <f t="shared" si="19"/>
        <v/>
      </c>
      <c r="O75" s="190" t="str">
        <f t="shared" si="20"/>
        <v/>
      </c>
      <c r="P75" s="190" t="str">
        <f t="shared" si="21"/>
        <v/>
      </c>
      <c r="Q75" s="150"/>
      <c r="R75" s="110"/>
      <c r="S75" s="110"/>
      <c r="T75" s="110"/>
      <c r="U75" s="110"/>
      <c r="V75" s="110"/>
      <c r="W75" s="110"/>
      <c r="X75" s="110"/>
      <c r="Y75" s="110"/>
      <c r="AH75" s="197" t="str">
        <f t="shared" si="22"/>
        <v/>
      </c>
    </row>
    <row r="76" spans="1:34" ht="24" customHeight="1">
      <c r="A76" s="198" t="s">
        <v>876</v>
      </c>
      <c r="B76" s="107"/>
      <c r="C76" s="108"/>
      <c r="D76" s="108"/>
      <c r="E76" s="199" t="s">
        <v>204</v>
      </c>
      <c r="F76" s="110"/>
      <c r="G76" s="106"/>
      <c r="H76" s="107"/>
      <c r="I76" s="108"/>
      <c r="J76" s="108"/>
      <c r="K76" s="191" t="str">
        <f t="shared" si="16"/>
        <v>UNUSED</v>
      </c>
      <c r="L76" s="190" t="str">
        <f t="shared" si="17"/>
        <v/>
      </c>
      <c r="M76" s="190" t="str">
        <f t="shared" si="18"/>
        <v/>
      </c>
      <c r="N76" s="190" t="str">
        <f t="shared" si="19"/>
        <v/>
      </c>
      <c r="O76" s="190" t="str">
        <f t="shared" si="20"/>
        <v/>
      </c>
      <c r="P76" s="190" t="str">
        <f t="shared" si="21"/>
        <v/>
      </c>
      <c r="Q76" s="150"/>
      <c r="R76" s="110"/>
      <c r="S76" s="110"/>
      <c r="T76" s="110"/>
      <c r="U76" s="110"/>
      <c r="V76" s="110"/>
      <c r="W76" s="110"/>
      <c r="X76" s="110"/>
      <c r="Y76" s="110"/>
      <c r="AH76" s="197" t="str">
        <f t="shared" si="22"/>
        <v/>
      </c>
    </row>
    <row r="77" spans="1:34" ht="24" customHeight="1">
      <c r="A77" s="198" t="s">
        <v>877</v>
      </c>
      <c r="B77" s="107"/>
      <c r="C77" s="108"/>
      <c r="D77" s="108"/>
      <c r="E77" s="199" t="s">
        <v>204</v>
      </c>
      <c r="F77" s="110"/>
      <c r="G77" s="106"/>
      <c r="H77" s="107"/>
      <c r="I77" s="108"/>
      <c r="J77" s="108"/>
      <c r="K77" s="191" t="str">
        <f t="shared" si="16"/>
        <v>UNUSED</v>
      </c>
      <c r="L77" s="190" t="str">
        <f t="shared" si="17"/>
        <v/>
      </c>
      <c r="M77" s="190" t="str">
        <f t="shared" si="18"/>
        <v/>
      </c>
      <c r="N77" s="190" t="str">
        <f t="shared" si="19"/>
        <v/>
      </c>
      <c r="O77" s="190" t="str">
        <f t="shared" si="20"/>
        <v/>
      </c>
      <c r="P77" s="190" t="str">
        <f t="shared" si="21"/>
        <v/>
      </c>
      <c r="Q77" s="150"/>
      <c r="R77" s="110"/>
      <c r="S77" s="110"/>
      <c r="T77" s="110"/>
      <c r="U77" s="110"/>
      <c r="V77" s="110"/>
      <c r="W77" s="110"/>
      <c r="X77" s="110"/>
      <c r="Y77" s="110"/>
      <c r="AH77" s="197" t="str">
        <f t="shared" si="22"/>
        <v/>
      </c>
    </row>
    <row r="78" spans="1:34" ht="24" customHeight="1">
      <c r="A78" s="198" t="s">
        <v>878</v>
      </c>
      <c r="B78" s="107"/>
      <c r="C78" s="108"/>
      <c r="D78" s="108"/>
      <c r="E78" s="199" t="s">
        <v>204</v>
      </c>
      <c r="F78" s="110"/>
      <c r="G78" s="106"/>
      <c r="H78" s="107"/>
      <c r="I78" s="108"/>
      <c r="J78" s="108"/>
      <c r="K78" s="191" t="str">
        <f t="shared" si="16"/>
        <v>UNUSED</v>
      </c>
      <c r="L78" s="190" t="str">
        <f t="shared" si="17"/>
        <v/>
      </c>
      <c r="M78" s="190" t="str">
        <f t="shared" si="18"/>
        <v/>
      </c>
      <c r="N78" s="190" t="str">
        <f t="shared" si="19"/>
        <v/>
      </c>
      <c r="O78" s="190" t="str">
        <f t="shared" si="20"/>
        <v/>
      </c>
      <c r="P78" s="190" t="str">
        <f t="shared" si="21"/>
        <v/>
      </c>
      <c r="Q78" s="150"/>
      <c r="R78" s="110"/>
      <c r="S78" s="110"/>
      <c r="T78" s="110"/>
      <c r="U78" s="110"/>
      <c r="V78" s="110"/>
      <c r="W78" s="110"/>
      <c r="X78" s="110"/>
      <c r="Y78" s="110"/>
      <c r="AH78" s="197" t="str">
        <f t="shared" si="22"/>
        <v/>
      </c>
    </row>
    <row r="79" spans="1:34" ht="24" customHeight="1">
      <c r="A79" s="198" t="s">
        <v>879</v>
      </c>
      <c r="B79" s="107"/>
      <c r="C79" s="108"/>
      <c r="D79" s="108"/>
      <c r="E79" s="199" t="s">
        <v>204</v>
      </c>
      <c r="F79" s="110"/>
      <c r="G79" s="106"/>
      <c r="H79" s="107"/>
      <c r="I79" s="108"/>
      <c r="J79" s="108"/>
      <c r="K79" s="191" t="str">
        <f t="shared" si="16"/>
        <v>UNUSED</v>
      </c>
      <c r="L79" s="190" t="str">
        <f t="shared" si="17"/>
        <v/>
      </c>
      <c r="M79" s="190" t="str">
        <f t="shared" si="18"/>
        <v/>
      </c>
      <c r="N79" s="190" t="str">
        <f t="shared" si="19"/>
        <v/>
      </c>
      <c r="O79" s="190" t="str">
        <f t="shared" si="20"/>
        <v/>
      </c>
      <c r="P79" s="190" t="str">
        <f t="shared" si="21"/>
        <v/>
      </c>
      <c r="Q79" s="150"/>
      <c r="R79" s="110"/>
      <c r="S79" s="110"/>
      <c r="T79" s="110"/>
      <c r="U79" s="110"/>
      <c r="V79" s="110"/>
      <c r="W79" s="110"/>
      <c r="X79" s="110"/>
      <c r="Y79" s="110"/>
      <c r="AH79" s="197" t="str">
        <f t="shared" si="22"/>
        <v/>
      </c>
    </row>
    <row r="80" spans="1:34" ht="24" customHeight="1">
      <c r="A80" s="198" t="s">
        <v>880</v>
      </c>
      <c r="B80" s="107"/>
      <c r="C80" s="108"/>
      <c r="D80" s="108"/>
      <c r="E80" s="199" t="s">
        <v>204</v>
      </c>
      <c r="F80" s="110"/>
      <c r="G80" s="106"/>
      <c r="H80" s="107"/>
      <c r="I80" s="108"/>
      <c r="J80" s="108"/>
      <c r="K80" s="191" t="str">
        <f t="shared" si="16"/>
        <v>UNUSED</v>
      </c>
      <c r="L80" s="190" t="str">
        <f t="shared" si="17"/>
        <v/>
      </c>
      <c r="M80" s="190" t="str">
        <f t="shared" si="18"/>
        <v/>
      </c>
      <c r="N80" s="190" t="str">
        <f t="shared" si="19"/>
        <v/>
      </c>
      <c r="O80" s="190" t="str">
        <f t="shared" si="20"/>
        <v/>
      </c>
      <c r="P80" s="190" t="str">
        <f t="shared" si="21"/>
        <v/>
      </c>
      <c r="Q80" s="150"/>
      <c r="R80" s="110"/>
      <c r="S80" s="110"/>
      <c r="T80" s="110"/>
      <c r="U80" s="110"/>
      <c r="V80" s="110"/>
      <c r="W80" s="110"/>
      <c r="X80" s="110"/>
      <c r="Y80" s="110"/>
      <c r="AH80" s="197" t="str">
        <f t="shared" si="22"/>
        <v/>
      </c>
    </row>
    <row r="81" spans="1:32">
      <c r="A81" s="150"/>
      <c r="B81" s="150"/>
      <c r="C81" s="150"/>
      <c r="D81" s="150"/>
      <c r="E81" s="150"/>
      <c r="F81" s="150"/>
      <c r="G81" s="150"/>
      <c r="H81" s="150"/>
      <c r="I81" s="150"/>
      <c r="J81" s="150"/>
      <c r="K81" s="150"/>
      <c r="L81" s="150"/>
      <c r="M81" s="150"/>
      <c r="N81" s="150"/>
      <c r="O81" s="150"/>
      <c r="P81" s="150"/>
      <c r="Q81" s="150"/>
      <c r="R81" s="110"/>
      <c r="S81" s="110"/>
      <c r="T81" s="110"/>
      <c r="U81" s="110"/>
      <c r="V81" s="110"/>
      <c r="W81" s="110"/>
      <c r="X81" s="110"/>
      <c r="Y81" s="110"/>
    </row>
    <row r="82" spans="1:32">
      <c r="A82" s="150"/>
      <c r="B82" s="150"/>
      <c r="C82" s="150"/>
      <c r="D82" s="150"/>
      <c r="E82" s="150"/>
      <c r="F82" s="150"/>
      <c r="G82" s="150"/>
      <c r="H82" s="150"/>
      <c r="I82" s="150"/>
      <c r="J82" s="150"/>
      <c r="K82" s="150"/>
      <c r="L82" s="150"/>
      <c r="M82" s="150"/>
      <c r="N82" s="150"/>
      <c r="O82" s="150"/>
      <c r="P82" s="150"/>
      <c r="Q82" s="150"/>
      <c r="R82" s="110"/>
      <c r="S82" s="110"/>
      <c r="T82" s="110"/>
      <c r="U82" s="110"/>
      <c r="V82" s="110"/>
      <c r="W82" s="110"/>
      <c r="X82" s="110"/>
      <c r="Y82" s="110"/>
    </row>
    <row r="83" spans="1:32">
      <c r="A83" s="150"/>
      <c r="B83" s="150"/>
      <c r="C83" s="150"/>
      <c r="D83" s="150"/>
      <c r="E83" s="150"/>
      <c r="F83" s="150"/>
      <c r="G83" s="150"/>
      <c r="H83" s="150"/>
      <c r="I83" s="150"/>
      <c r="J83" s="150"/>
      <c r="K83" s="150"/>
      <c r="L83" s="150"/>
      <c r="M83" s="150"/>
      <c r="N83" s="150"/>
      <c r="O83" s="150"/>
      <c r="P83" s="150"/>
      <c r="Q83" s="150"/>
      <c r="R83" s="110"/>
      <c r="S83" s="110"/>
      <c r="T83" s="110"/>
      <c r="U83" s="110"/>
      <c r="V83" s="110"/>
      <c r="W83" s="110"/>
      <c r="X83" s="110"/>
      <c r="Y83" s="110"/>
    </row>
    <row r="84" spans="1:32" ht="13.8" customHeight="1">
      <c r="A84" s="150"/>
      <c r="B84" s="150"/>
      <c r="C84" s="150"/>
      <c r="D84" s="150"/>
      <c r="E84" s="150"/>
      <c r="F84" s="150"/>
      <c r="G84" s="150"/>
      <c r="H84" s="150"/>
      <c r="I84" s="150"/>
      <c r="J84" s="150"/>
      <c r="K84" s="150"/>
      <c r="L84" s="150"/>
      <c r="M84" s="431" t="s">
        <v>915</v>
      </c>
      <c r="N84" s="433"/>
      <c r="O84" s="433"/>
      <c r="P84" s="433"/>
      <c r="Q84" s="433"/>
      <c r="R84" s="433"/>
      <c r="S84" s="433"/>
      <c r="T84" s="110"/>
      <c r="U84" s="110"/>
      <c r="V84" s="110"/>
      <c r="W84" s="110"/>
      <c r="X84" s="110"/>
      <c r="Y84" s="110"/>
    </row>
    <row r="85" spans="1:32">
      <c r="A85" s="150"/>
      <c r="B85" s="150"/>
      <c r="C85" s="150"/>
      <c r="D85" s="150"/>
      <c r="E85" s="150"/>
      <c r="F85" s="150"/>
      <c r="G85" s="150"/>
      <c r="H85" s="150"/>
      <c r="I85" s="150"/>
      <c r="J85" s="150"/>
      <c r="K85" s="150"/>
      <c r="L85" s="150"/>
      <c r="M85" s="433"/>
      <c r="N85" s="433"/>
      <c r="O85" s="433"/>
      <c r="P85" s="433"/>
      <c r="Q85" s="433"/>
      <c r="R85" s="433"/>
      <c r="S85" s="433"/>
      <c r="T85" s="110"/>
      <c r="U85" s="110"/>
      <c r="V85" s="110"/>
      <c r="W85" s="110"/>
      <c r="X85" s="110"/>
      <c r="Y85" s="110"/>
    </row>
    <row r="86" spans="1:32" ht="21" customHeight="1">
      <c r="A86" s="428" t="s">
        <v>910</v>
      </c>
      <c r="B86" s="428"/>
      <c r="C86" s="428"/>
      <c r="D86" s="428"/>
      <c r="E86" s="428"/>
      <c r="F86" s="428"/>
      <c r="G86" s="428"/>
      <c r="H86" s="428"/>
      <c r="I86" s="428"/>
      <c r="J86" s="428"/>
      <c r="K86" s="428"/>
      <c r="Q86" s="100"/>
      <c r="R86" s="100"/>
      <c r="S86" s="100"/>
      <c r="T86" s="100"/>
      <c r="U86" s="100"/>
      <c r="V86" s="100"/>
      <c r="W86" s="100"/>
      <c r="X86" s="100"/>
      <c r="Y86" s="100"/>
      <c r="Z86" s="100"/>
      <c r="AA86" s="100"/>
      <c r="AB86" s="100"/>
      <c r="AC86" s="100"/>
      <c r="AD86" s="100"/>
      <c r="AE86" s="100"/>
      <c r="AF86" s="100"/>
    </row>
    <row r="87" spans="1:32" ht="21" customHeight="1">
      <c r="A87" s="428"/>
      <c r="B87" s="428"/>
      <c r="C87" s="428"/>
      <c r="D87" s="428"/>
      <c r="E87" s="428"/>
      <c r="F87" s="428"/>
      <c r="G87" s="428"/>
      <c r="H87" s="428"/>
      <c r="I87" s="428"/>
      <c r="J87" s="428"/>
      <c r="K87" s="428"/>
      <c r="Q87" s="100"/>
      <c r="R87" s="100"/>
      <c r="S87" s="100"/>
      <c r="T87" s="100"/>
      <c r="U87" s="100"/>
      <c r="V87" s="100"/>
      <c r="W87" s="100"/>
      <c r="X87" s="100"/>
      <c r="Y87" s="100"/>
      <c r="Z87" s="100"/>
      <c r="AA87" s="100"/>
      <c r="AB87" s="100"/>
      <c r="AC87" s="100"/>
      <c r="AD87" s="100"/>
      <c r="AE87" s="100"/>
      <c r="AF87" s="100"/>
    </row>
    <row r="88" spans="1:32" ht="24" customHeight="1">
      <c r="A88" s="429" t="s">
        <v>911</v>
      </c>
      <c r="B88" s="429"/>
      <c r="C88" s="429"/>
      <c r="D88" s="429"/>
      <c r="E88" s="429"/>
      <c r="F88" s="429"/>
      <c r="G88" s="429"/>
      <c r="H88" s="429"/>
      <c r="I88" s="429"/>
      <c r="J88" s="429"/>
      <c r="K88" s="429"/>
      <c r="Q88" s="100"/>
      <c r="R88" s="100"/>
      <c r="S88" s="100"/>
      <c r="T88" s="100"/>
      <c r="U88" s="100"/>
      <c r="V88" s="100"/>
      <c r="W88" s="100"/>
      <c r="X88" s="100"/>
      <c r="Y88" s="100"/>
      <c r="Z88" s="100"/>
      <c r="AA88" s="100"/>
      <c r="AB88" s="100"/>
      <c r="AC88" s="100"/>
      <c r="AD88" s="100"/>
      <c r="AE88" s="100"/>
      <c r="AF88" s="100"/>
    </row>
    <row r="89" spans="1:32" ht="24" customHeight="1">
      <c r="A89" s="429"/>
      <c r="B89" s="429"/>
      <c r="C89" s="429"/>
      <c r="D89" s="429"/>
      <c r="E89" s="429"/>
      <c r="F89" s="429"/>
      <c r="G89" s="429"/>
      <c r="H89" s="429"/>
      <c r="I89" s="429"/>
      <c r="J89" s="429"/>
      <c r="K89" s="429"/>
      <c r="Q89" s="100"/>
      <c r="R89" s="100"/>
      <c r="S89" s="100"/>
      <c r="T89" s="100"/>
      <c r="U89" s="100"/>
      <c r="V89" s="100"/>
      <c r="W89" s="100"/>
      <c r="X89" s="100"/>
      <c r="Y89" s="100"/>
      <c r="Z89" s="100"/>
      <c r="AA89" s="100"/>
      <c r="AB89" s="100"/>
      <c r="AC89" s="100"/>
      <c r="AD89" s="100"/>
      <c r="AE89" s="100"/>
      <c r="AF89" s="100"/>
    </row>
    <row r="90" spans="1:32" ht="43.95" customHeight="1">
      <c r="A90" s="133" t="s">
        <v>783</v>
      </c>
      <c r="B90" s="105" t="s">
        <v>787</v>
      </c>
      <c r="C90" s="105" t="s">
        <v>788</v>
      </c>
      <c r="D90" s="105" t="s">
        <v>789</v>
      </c>
      <c r="E90" s="105" t="s">
        <v>790</v>
      </c>
      <c r="F90" s="105" t="s">
        <v>791</v>
      </c>
      <c r="G90" s="105" t="s">
        <v>792</v>
      </c>
      <c r="H90" s="105" t="s">
        <v>793</v>
      </c>
      <c r="I90" s="105" t="s">
        <v>794</v>
      </c>
      <c r="J90" s="105" t="s">
        <v>755</v>
      </c>
      <c r="K90" s="109" t="s">
        <v>650</v>
      </c>
      <c r="Q90" s="100"/>
      <c r="R90" s="100"/>
      <c r="S90" s="100"/>
      <c r="T90" s="100"/>
      <c r="U90" s="100"/>
      <c r="V90" s="100"/>
      <c r="W90" s="100"/>
      <c r="X90" s="100"/>
      <c r="Y90" s="100"/>
      <c r="Z90" s="100"/>
      <c r="AA90" s="100"/>
      <c r="AB90" s="100"/>
      <c r="AC90" s="100"/>
      <c r="AD90" s="100"/>
      <c r="AE90" s="100"/>
      <c r="AF90" s="100"/>
    </row>
    <row r="91" spans="1:32" ht="22.05" customHeight="1">
      <c r="A91" s="192" t="str">
        <f t="shared" ref="A91:A110" si="23">A61</f>
        <v>MB1</v>
      </c>
      <c r="B91" s="191" t="str">
        <f t="shared" ref="B91:B110" si="24">IF(J91="OK",SUMIF($G$61:$G$80,A61,$L$61:$L$80),"")</f>
        <v/>
      </c>
      <c r="C91" s="191" t="str">
        <f t="shared" ref="C91:C110" si="25">IF(J91="OK",SUMIF($G$61:$G$80,A61,$M$61:$M$80),"")</f>
        <v/>
      </c>
      <c r="D91" s="191" t="str">
        <f t="shared" ref="D91:D110" si="26">IF(J91="OK",SUMIF($G$61:$G$80,A61,$N$61:$N$80),"")</f>
        <v/>
      </c>
      <c r="E91" s="191" t="str">
        <f t="shared" ref="E91:E110" si="27">IF(J91="OK",SUMIF($G$61:$G$80,A61,$O$61:$O$80),"")</f>
        <v/>
      </c>
      <c r="F91" s="191" t="str">
        <f t="shared" ref="F91:F110" si="28">IF(J91="OK",24.5*C61*D61/1000000,"")</f>
        <v/>
      </c>
      <c r="G91" s="191" t="str">
        <f t="shared" ref="G91:G110" si="29">IF(J91="OK",1.4*(B91+C91+D91+F91*B61)+1.6*E91,"")</f>
        <v/>
      </c>
      <c r="H91" s="191" t="str">
        <f>IF(COUNTIF(RCLoadResults73[Member],A61),INDEX(RCLoadResults73[M],MATCH(A61,RCLoadResults73[Member],0)),IF(J91="OK",MBEffect66(1,A61:E61,$A$31:$AK$50,$G$61:$P$80),""))</f>
        <v/>
      </c>
      <c r="I91" s="191" t="str">
        <f>IF(COUNTIF(RCLoadResults73[Member],A61),INDEX(RCLoadResults73[V],MATCH(A61,RCLoadResults73[Member],0)),IF(J91="OK",MBEffect66(2,A61:E61,$A$31:$AK$50,$G$61:$P$80),""))</f>
        <v/>
      </c>
      <c r="J91" s="191" t="str">
        <f>IF(COUNTIF(RCLoadResults73[Member],A61),INDEX(RCLoadResults73[Status],MATCH(A61,RCLoadResults73[Member],0)),MBStatus66(A61:E61,$A$61:$E$80,$A$31:$AK$50,$G$61:$K$80))</f>
        <v>UNUSED</v>
      </c>
      <c r="K91" s="193" t="str">
        <f>IF(NOT(InputRowUsed73(A61:E61,"MB")),"",IF($F$4="","ENTER FIRE HOURS",IF(COUNTIF('Section B Concrete Cover'!$B$6:$D$6,$F$4)&lt;&gt;1,"CHECK FIRE HOURS",IF(E61&lt;&gt;"Simply-supported","CHECK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1" s="100"/>
      <c r="R91" s="100"/>
      <c r="S91" s="100"/>
      <c r="T91" s="100"/>
      <c r="U91" s="100"/>
      <c r="V91" s="100"/>
      <c r="W91" s="100"/>
      <c r="X91" s="100"/>
      <c r="Y91" s="100"/>
      <c r="Z91" s="100"/>
      <c r="AA91" s="100"/>
      <c r="AB91" s="100"/>
      <c r="AC91" s="100"/>
      <c r="AD91" s="100"/>
      <c r="AE91" s="100"/>
      <c r="AF91" s="100"/>
    </row>
    <row r="92" spans="1:32" ht="22.05" customHeight="1">
      <c r="A92" s="192" t="str">
        <f t="shared" si="23"/>
        <v>MB2</v>
      </c>
      <c r="B92" s="191" t="str">
        <f t="shared" si="24"/>
        <v/>
      </c>
      <c r="C92" s="191" t="str">
        <f t="shared" si="25"/>
        <v/>
      </c>
      <c r="D92" s="191" t="str">
        <f t="shared" si="26"/>
        <v/>
      </c>
      <c r="E92" s="191" t="str">
        <f t="shared" si="27"/>
        <v/>
      </c>
      <c r="F92" s="191" t="str">
        <f t="shared" si="28"/>
        <v/>
      </c>
      <c r="G92" s="191" t="str">
        <f t="shared" si="29"/>
        <v/>
      </c>
      <c r="H92" s="191" t="str">
        <f>IF(COUNTIF(RCLoadResults73[Member],A62),INDEX(RCLoadResults73[M],MATCH(A62,RCLoadResults73[Member],0)),IF(J92="OK",MBEffect66(1,A62:E62,$A$31:$AK$50,$G$61:$P$80),""))</f>
        <v/>
      </c>
      <c r="I92" s="191" t="str">
        <f>IF(COUNTIF(RCLoadResults73[Member],A62),INDEX(RCLoadResults73[V],MATCH(A62,RCLoadResults73[Member],0)),IF(J92="OK",MBEffect66(2,A62:E62,$A$31:$AK$50,$G$61:$P$80),""))</f>
        <v/>
      </c>
      <c r="J92" s="191" t="str">
        <f>IF(COUNTIF(RCLoadResults73[Member],A62),INDEX(RCLoadResults73[Status],MATCH(A62,RCLoadResults73[Member],0)),MBStatus66(A62:E62,$A$61:$E$80,$A$31:$AK$50,$G$61:$K$80))</f>
        <v>UNUSED</v>
      </c>
      <c r="K92" s="193" t="str">
        <f>IF(NOT(InputRowUsed73(A62:E62,"MB")),"",IF($F$4="","ENTER FIRE HOURS",IF(COUNTIF('Section B Concrete Cover'!$B$6:$D$6,$F$4)&lt;&gt;1,"CHECK FIRE HOURS",IF(E62&lt;&gt;"Simply-supported","CHECK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2" s="100"/>
      <c r="R92" s="100"/>
      <c r="S92" s="100"/>
      <c r="T92" s="100"/>
      <c r="U92" s="100"/>
      <c r="V92" s="100"/>
      <c r="W92" s="100"/>
      <c r="X92" s="100"/>
      <c r="Y92" s="100"/>
      <c r="Z92" s="100"/>
      <c r="AA92" s="100"/>
      <c r="AB92" s="100"/>
      <c r="AC92" s="100"/>
      <c r="AD92" s="100"/>
      <c r="AE92" s="100"/>
      <c r="AF92" s="100"/>
    </row>
    <row r="93" spans="1:32" ht="22.05" customHeight="1">
      <c r="A93" s="192" t="str">
        <f t="shared" si="23"/>
        <v>MB3</v>
      </c>
      <c r="B93" s="191" t="str">
        <f t="shared" si="24"/>
        <v/>
      </c>
      <c r="C93" s="191" t="str">
        <f t="shared" si="25"/>
        <v/>
      </c>
      <c r="D93" s="191" t="str">
        <f t="shared" si="26"/>
        <v/>
      </c>
      <c r="E93" s="191" t="str">
        <f t="shared" si="27"/>
        <v/>
      </c>
      <c r="F93" s="191" t="str">
        <f t="shared" si="28"/>
        <v/>
      </c>
      <c r="G93" s="191" t="str">
        <f t="shared" si="29"/>
        <v/>
      </c>
      <c r="H93" s="191" t="str">
        <f>IF(COUNTIF(RCLoadResults73[Member],A63),INDEX(RCLoadResults73[M],MATCH(A63,RCLoadResults73[Member],0)),IF(J93="OK",MBEffect66(1,A63:E63,$A$31:$AK$50,$G$61:$P$80),""))</f>
        <v/>
      </c>
      <c r="I93" s="191" t="str">
        <f>IF(COUNTIF(RCLoadResults73[Member],A63),INDEX(RCLoadResults73[V],MATCH(A63,RCLoadResults73[Member],0)),IF(J93="OK",MBEffect66(2,A63:E63,$A$31:$AK$50,$G$61:$P$80),""))</f>
        <v/>
      </c>
      <c r="J93" s="191" t="str">
        <f>IF(COUNTIF(RCLoadResults73[Member],A63),INDEX(RCLoadResults73[Status],MATCH(A63,RCLoadResults73[Member],0)),MBStatus66(A63:E63,$A$61:$E$80,$A$31:$AK$50,$G$61:$K$80))</f>
        <v>UNUSED</v>
      </c>
      <c r="K93" s="193" t="str">
        <f>IF(NOT(InputRowUsed73(A63:E63,"MB")),"",IF($F$4="","ENTER FIRE HOURS",IF(COUNTIF('Section B Concrete Cover'!$B$6:$D$6,$F$4)&lt;&gt;1,"CHECK FIRE HOURS",IF(E63&lt;&gt;"Simply-supported","CHECK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3" s="100"/>
      <c r="R93" s="100"/>
      <c r="S93" s="100"/>
      <c r="T93" s="100"/>
      <c r="U93" s="100"/>
      <c r="V93" s="100"/>
      <c r="W93" s="100"/>
      <c r="X93" s="100"/>
      <c r="Y93" s="100"/>
      <c r="Z93" s="100"/>
      <c r="AA93" s="100"/>
      <c r="AB93" s="100"/>
      <c r="AC93" s="100"/>
      <c r="AD93" s="100"/>
      <c r="AE93" s="100"/>
      <c r="AF93" s="100"/>
    </row>
    <row r="94" spans="1:32" ht="22.05" customHeight="1">
      <c r="A94" s="192" t="str">
        <f t="shared" si="23"/>
        <v>MB4</v>
      </c>
      <c r="B94" s="191" t="str">
        <f t="shared" si="24"/>
        <v/>
      </c>
      <c r="C94" s="191" t="str">
        <f t="shared" si="25"/>
        <v/>
      </c>
      <c r="D94" s="191" t="str">
        <f t="shared" si="26"/>
        <v/>
      </c>
      <c r="E94" s="191" t="str">
        <f t="shared" si="27"/>
        <v/>
      </c>
      <c r="F94" s="191" t="str">
        <f t="shared" si="28"/>
        <v/>
      </c>
      <c r="G94" s="191" t="str">
        <f t="shared" si="29"/>
        <v/>
      </c>
      <c r="H94" s="191" t="str">
        <f>IF(COUNTIF(RCLoadResults73[Member],A64),INDEX(RCLoadResults73[M],MATCH(A64,RCLoadResults73[Member],0)),IF(J94="OK",MBEffect66(1,A64:E64,$A$31:$AK$50,$G$61:$P$80),""))</f>
        <v/>
      </c>
      <c r="I94" s="191" t="str">
        <f>IF(COUNTIF(RCLoadResults73[Member],A64),INDEX(RCLoadResults73[V],MATCH(A64,RCLoadResults73[Member],0)),IF(J94="OK",MBEffect66(2,A64:E64,$A$31:$AK$50,$G$61:$P$80),""))</f>
        <v/>
      </c>
      <c r="J94" s="191" t="str">
        <f>IF(COUNTIF(RCLoadResults73[Member],A64),INDEX(RCLoadResults73[Status],MATCH(A64,RCLoadResults73[Member],0)),MBStatus66(A64:E64,$A$61:$E$80,$A$31:$AK$50,$G$61:$K$80))</f>
        <v>UNUSED</v>
      </c>
      <c r="K94" s="193" t="str">
        <f>IF(NOT(InputRowUsed73(A64:E64,"MB")),"",IF($F$4="","ENTER FIRE HOURS",IF(COUNTIF('Section B Concrete Cover'!$B$6:$D$6,$F$4)&lt;&gt;1,"CHECK FIRE HOURS",IF(E64&lt;&gt;"Simply-supported","CHECK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4" s="100"/>
      <c r="R94" s="100"/>
      <c r="S94" s="100"/>
      <c r="T94" s="100"/>
      <c r="U94" s="100"/>
      <c r="V94" s="100"/>
      <c r="W94" s="100"/>
      <c r="X94" s="100"/>
      <c r="Y94" s="100"/>
      <c r="Z94" s="100"/>
      <c r="AA94" s="100"/>
      <c r="AB94" s="100"/>
      <c r="AC94" s="100"/>
      <c r="AD94" s="100"/>
      <c r="AE94" s="100"/>
      <c r="AF94" s="100"/>
    </row>
    <row r="95" spans="1:32" ht="22.05" customHeight="1">
      <c r="A95" s="192" t="str">
        <f t="shared" si="23"/>
        <v>MB5</v>
      </c>
      <c r="B95" s="191" t="str">
        <f t="shared" si="24"/>
        <v/>
      </c>
      <c r="C95" s="191" t="str">
        <f t="shared" si="25"/>
        <v/>
      </c>
      <c r="D95" s="191" t="str">
        <f t="shared" si="26"/>
        <v/>
      </c>
      <c r="E95" s="191" t="str">
        <f t="shared" si="27"/>
        <v/>
      </c>
      <c r="F95" s="191" t="str">
        <f t="shared" si="28"/>
        <v/>
      </c>
      <c r="G95" s="191" t="str">
        <f t="shared" si="29"/>
        <v/>
      </c>
      <c r="H95" s="191" t="str">
        <f>IF(COUNTIF(RCLoadResults73[Member],A65),INDEX(RCLoadResults73[M],MATCH(A65,RCLoadResults73[Member],0)),IF(J95="OK",MBEffect66(1,A65:E65,$A$31:$AK$50,$G$61:$P$80),""))</f>
        <v/>
      </c>
      <c r="I95" s="191" t="str">
        <f>IF(COUNTIF(RCLoadResults73[Member],A65),INDEX(RCLoadResults73[V],MATCH(A65,RCLoadResults73[Member],0)),IF(J95="OK",MBEffect66(2,A65:E65,$A$31:$AK$50,$G$61:$P$80),""))</f>
        <v/>
      </c>
      <c r="J95" s="191" t="str">
        <f>IF(COUNTIF(RCLoadResults73[Member],A65),INDEX(RCLoadResults73[Status],MATCH(A65,RCLoadResults73[Member],0)),MBStatus66(A65:E65,$A$61:$E$80,$A$31:$AK$50,$G$61:$K$80))</f>
        <v>UNUSED</v>
      </c>
      <c r="K95" s="193" t="str">
        <f>IF(NOT(InputRowUsed73(A65:E65,"MB")),"",IF($F$4="","ENTER FIRE HOURS",IF(COUNTIF('Section B Concrete Cover'!$B$6:$D$6,$F$4)&lt;&gt;1,"CHECK FIRE HOURS",IF(E65&lt;&gt;"Simply-supported","CHECK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5" s="100"/>
      <c r="R95" s="100"/>
      <c r="S95" s="100"/>
      <c r="T95" s="100"/>
      <c r="U95" s="100"/>
      <c r="V95" s="100"/>
      <c r="W95" s="100"/>
      <c r="X95" s="100"/>
      <c r="Y95" s="100"/>
      <c r="Z95" s="100"/>
      <c r="AA95" s="100"/>
      <c r="AB95" s="100"/>
      <c r="AC95" s="100"/>
      <c r="AD95" s="100"/>
      <c r="AE95" s="100"/>
      <c r="AF95" s="100"/>
    </row>
    <row r="96" spans="1:32" ht="22.05" customHeight="1">
      <c r="A96" s="192" t="str">
        <f t="shared" si="23"/>
        <v>MB6</v>
      </c>
      <c r="B96" s="191" t="str">
        <f t="shared" si="24"/>
        <v/>
      </c>
      <c r="C96" s="191" t="str">
        <f t="shared" si="25"/>
        <v/>
      </c>
      <c r="D96" s="191" t="str">
        <f t="shared" si="26"/>
        <v/>
      </c>
      <c r="E96" s="191" t="str">
        <f t="shared" si="27"/>
        <v/>
      </c>
      <c r="F96" s="191" t="str">
        <f t="shared" si="28"/>
        <v/>
      </c>
      <c r="G96" s="191" t="str">
        <f t="shared" si="29"/>
        <v/>
      </c>
      <c r="H96" s="191" t="str">
        <f>IF(COUNTIF(RCLoadResults73[Member],A66),INDEX(RCLoadResults73[M],MATCH(A66,RCLoadResults73[Member],0)),IF(J96="OK",MBEffect66(1,A66:E66,$A$31:$AK$50,$G$61:$P$80),""))</f>
        <v/>
      </c>
      <c r="I96" s="191" t="str">
        <f>IF(COUNTIF(RCLoadResults73[Member],A66),INDEX(RCLoadResults73[V],MATCH(A66,RCLoadResults73[Member],0)),IF(J96="OK",MBEffect66(2,A66:E66,$A$31:$AK$50,$G$61:$P$80),""))</f>
        <v/>
      </c>
      <c r="J96" s="191" t="str">
        <f>IF(COUNTIF(RCLoadResults73[Member],A66),INDEX(RCLoadResults73[Status],MATCH(A66,RCLoadResults73[Member],0)),MBStatus66(A66:E66,$A$61:$E$80,$A$31:$AK$50,$G$61:$K$80))</f>
        <v>UNUSED</v>
      </c>
      <c r="K96" s="193" t="str">
        <f>IF(NOT(InputRowUsed73(A66:E66,"MB")),"",IF($F$4="","ENTER FIRE HOURS",IF(COUNTIF('Section B Concrete Cover'!$B$6:$D$6,$F$4)&lt;&gt;1,"CHECK FIRE HOURS",IF(E66&lt;&gt;"Simply-supported","CHECK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6" s="100"/>
      <c r="R96" s="100"/>
      <c r="S96" s="100"/>
      <c r="T96" s="100"/>
      <c r="U96" s="100"/>
      <c r="V96" s="100"/>
      <c r="W96" s="100"/>
      <c r="X96" s="100"/>
      <c r="Y96" s="100"/>
      <c r="Z96" s="100"/>
      <c r="AA96" s="100"/>
      <c r="AB96" s="100"/>
      <c r="AC96" s="100"/>
      <c r="AD96" s="100"/>
      <c r="AE96" s="100"/>
      <c r="AF96" s="100"/>
    </row>
    <row r="97" spans="1:32" ht="22.05" customHeight="1">
      <c r="A97" s="192" t="str">
        <f t="shared" si="23"/>
        <v>MB7</v>
      </c>
      <c r="B97" s="191" t="str">
        <f t="shared" si="24"/>
        <v/>
      </c>
      <c r="C97" s="191" t="str">
        <f t="shared" si="25"/>
        <v/>
      </c>
      <c r="D97" s="191" t="str">
        <f t="shared" si="26"/>
        <v/>
      </c>
      <c r="E97" s="191" t="str">
        <f t="shared" si="27"/>
        <v/>
      </c>
      <c r="F97" s="191" t="str">
        <f t="shared" si="28"/>
        <v/>
      </c>
      <c r="G97" s="191" t="str">
        <f t="shared" si="29"/>
        <v/>
      </c>
      <c r="H97" s="191" t="str">
        <f>IF(COUNTIF(RCLoadResults73[Member],A67),INDEX(RCLoadResults73[M],MATCH(A67,RCLoadResults73[Member],0)),IF(J97="OK",MBEffect66(1,A67:E67,$A$31:$AK$50,$G$61:$P$80),""))</f>
        <v/>
      </c>
      <c r="I97" s="191" t="str">
        <f>IF(COUNTIF(RCLoadResults73[Member],A67),INDEX(RCLoadResults73[V],MATCH(A67,RCLoadResults73[Member],0)),IF(J97="OK",MBEffect66(2,A67:E67,$A$31:$AK$50,$G$61:$P$80),""))</f>
        <v/>
      </c>
      <c r="J97" s="191" t="str">
        <f>IF(COUNTIF(RCLoadResults73[Member],A67),INDEX(RCLoadResults73[Status],MATCH(A67,RCLoadResults73[Member],0)),MBStatus66(A67:E67,$A$61:$E$80,$A$31:$AK$50,$G$61:$K$80))</f>
        <v>UNUSED</v>
      </c>
      <c r="K97" s="193" t="str">
        <f>IF(NOT(InputRowUsed73(A67:E67,"MB")),"",IF($F$4="","ENTER FIRE HOURS",IF(COUNTIF('Section B Concrete Cover'!$B$6:$D$6,$F$4)&lt;&gt;1,"CHECK FIRE HOURS",IF(E67&lt;&gt;"Simply-supported","CHECK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7" s="100"/>
      <c r="R97" s="100"/>
      <c r="S97" s="100"/>
      <c r="T97" s="100"/>
      <c r="U97" s="100"/>
      <c r="V97" s="100"/>
      <c r="W97" s="100"/>
      <c r="X97" s="100"/>
      <c r="Y97" s="100"/>
      <c r="Z97" s="100"/>
      <c r="AA97" s="100"/>
      <c r="AB97" s="100"/>
      <c r="AC97" s="100"/>
      <c r="AD97" s="100"/>
      <c r="AE97" s="100"/>
      <c r="AF97" s="100"/>
    </row>
    <row r="98" spans="1:32" ht="22.05" customHeight="1">
      <c r="A98" s="192" t="str">
        <f t="shared" si="23"/>
        <v>MB8</v>
      </c>
      <c r="B98" s="191" t="str">
        <f t="shared" si="24"/>
        <v/>
      </c>
      <c r="C98" s="191" t="str">
        <f t="shared" si="25"/>
        <v/>
      </c>
      <c r="D98" s="191" t="str">
        <f t="shared" si="26"/>
        <v/>
      </c>
      <c r="E98" s="191" t="str">
        <f t="shared" si="27"/>
        <v/>
      </c>
      <c r="F98" s="191" t="str">
        <f t="shared" si="28"/>
        <v/>
      </c>
      <c r="G98" s="191" t="str">
        <f t="shared" si="29"/>
        <v/>
      </c>
      <c r="H98" s="191" t="str">
        <f>IF(COUNTIF(RCLoadResults73[Member],A68),INDEX(RCLoadResults73[M],MATCH(A68,RCLoadResults73[Member],0)),IF(J98="OK",MBEffect66(1,A68:E68,$A$31:$AK$50,$G$61:$P$80),""))</f>
        <v/>
      </c>
      <c r="I98" s="191" t="str">
        <f>IF(COUNTIF(RCLoadResults73[Member],A68),INDEX(RCLoadResults73[V],MATCH(A68,RCLoadResults73[Member],0)),IF(J98="OK",MBEffect66(2,A68:E68,$A$31:$AK$50,$G$61:$P$80),""))</f>
        <v/>
      </c>
      <c r="J98" s="191" t="str">
        <f>IF(COUNTIF(RCLoadResults73[Member],A68),INDEX(RCLoadResults73[Status],MATCH(A68,RCLoadResults73[Member],0)),MBStatus66(A68:E68,$A$61:$E$80,$A$31:$AK$50,$G$61:$K$80))</f>
        <v>UNUSED</v>
      </c>
      <c r="K98" s="193" t="str">
        <f>IF(NOT(InputRowUsed73(A68:E68,"MB")),"",IF($F$4="","ENTER FIRE HOURS",IF(COUNTIF('Section B Concrete Cover'!$B$6:$D$6,$F$4)&lt;&gt;1,"CHECK FIRE HOURS",IF(E68&lt;&gt;"Simply-supported","CHECK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8" s="100"/>
      <c r="R98" s="100"/>
      <c r="S98" s="100"/>
      <c r="T98" s="100"/>
      <c r="U98" s="100"/>
      <c r="V98" s="100"/>
      <c r="W98" s="100"/>
      <c r="X98" s="100"/>
      <c r="Y98" s="100"/>
      <c r="Z98" s="100"/>
      <c r="AA98" s="100"/>
      <c r="AB98" s="100"/>
      <c r="AC98" s="100"/>
      <c r="AD98" s="100"/>
      <c r="AE98" s="100"/>
      <c r="AF98" s="100"/>
    </row>
    <row r="99" spans="1:32" ht="22.05" customHeight="1">
      <c r="A99" s="192" t="str">
        <f t="shared" si="23"/>
        <v>MB9</v>
      </c>
      <c r="B99" s="191" t="str">
        <f t="shared" si="24"/>
        <v/>
      </c>
      <c r="C99" s="191" t="str">
        <f t="shared" si="25"/>
        <v/>
      </c>
      <c r="D99" s="191" t="str">
        <f t="shared" si="26"/>
        <v/>
      </c>
      <c r="E99" s="191" t="str">
        <f t="shared" si="27"/>
        <v/>
      </c>
      <c r="F99" s="191" t="str">
        <f t="shared" si="28"/>
        <v/>
      </c>
      <c r="G99" s="191" t="str">
        <f t="shared" si="29"/>
        <v/>
      </c>
      <c r="H99" s="191" t="str">
        <f>IF(COUNTIF(RCLoadResults73[Member],A69),INDEX(RCLoadResults73[M],MATCH(A69,RCLoadResults73[Member],0)),IF(J99="OK",MBEffect66(1,A69:E69,$A$31:$AK$50,$G$61:$P$80),""))</f>
        <v/>
      </c>
      <c r="I99" s="191" t="str">
        <f>IF(COUNTIF(RCLoadResults73[Member],A69),INDEX(RCLoadResults73[V],MATCH(A69,RCLoadResults73[Member],0)),IF(J99="OK",MBEffect66(2,A69:E69,$A$31:$AK$50,$G$61:$P$80),""))</f>
        <v/>
      </c>
      <c r="J99" s="191" t="str">
        <f>IF(COUNTIF(RCLoadResults73[Member],A69),INDEX(RCLoadResults73[Status],MATCH(A69,RCLoadResults73[Member],0)),MBStatus66(A69:E69,$A$61:$E$80,$A$31:$AK$50,$G$61:$K$80))</f>
        <v>UNUSED</v>
      </c>
      <c r="K99" s="193" t="str">
        <f>IF(NOT(InputRowUsed73(A69:E69,"MB")),"",IF($F$4="","ENTER FIRE HOURS",IF(COUNTIF('Section B Concrete Cover'!$B$6:$D$6,$F$4)&lt;&gt;1,"CHECK FIRE HOURS",IF(E69&lt;&gt;"Simply-supported","CHECK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9" s="100"/>
      <c r="R99" s="100"/>
      <c r="S99" s="100"/>
      <c r="T99" s="100"/>
      <c r="U99" s="100"/>
      <c r="V99" s="100"/>
      <c r="W99" s="100"/>
      <c r="X99" s="100"/>
      <c r="Y99" s="100"/>
      <c r="Z99" s="100"/>
      <c r="AA99" s="100"/>
      <c r="AB99" s="100"/>
      <c r="AC99" s="100"/>
      <c r="AD99" s="100"/>
      <c r="AE99" s="100"/>
      <c r="AF99" s="100"/>
    </row>
    <row r="100" spans="1:32" ht="22.05" customHeight="1">
      <c r="A100" s="192" t="str">
        <f t="shared" si="23"/>
        <v>MB10</v>
      </c>
      <c r="B100" s="191" t="str">
        <f t="shared" si="24"/>
        <v/>
      </c>
      <c r="C100" s="191" t="str">
        <f t="shared" si="25"/>
        <v/>
      </c>
      <c r="D100" s="191" t="str">
        <f t="shared" si="26"/>
        <v/>
      </c>
      <c r="E100" s="191" t="str">
        <f t="shared" si="27"/>
        <v/>
      </c>
      <c r="F100" s="191" t="str">
        <f t="shared" si="28"/>
        <v/>
      </c>
      <c r="G100" s="191" t="str">
        <f t="shared" si="29"/>
        <v/>
      </c>
      <c r="H100" s="191" t="str">
        <f>IF(COUNTIF(RCLoadResults73[Member],A70),INDEX(RCLoadResults73[M],MATCH(A70,RCLoadResults73[Member],0)),IF(J100="OK",MBEffect66(1,A70:E70,$A$31:$AK$50,$G$61:$P$80),""))</f>
        <v/>
      </c>
      <c r="I100" s="191" t="str">
        <f>IF(COUNTIF(RCLoadResults73[Member],A70),INDEX(RCLoadResults73[V],MATCH(A70,RCLoadResults73[Member],0)),IF(J100="OK",MBEffect66(2,A70:E70,$A$31:$AK$50,$G$61:$P$80),""))</f>
        <v/>
      </c>
      <c r="J100" s="191" t="str">
        <f>IF(COUNTIF(RCLoadResults73[Member],A70),INDEX(RCLoadResults73[Status],MATCH(A70,RCLoadResults73[Member],0)),MBStatus66(A70:E70,$A$61:$E$80,$A$31:$AK$50,$G$61:$K$80))</f>
        <v>UNUSED</v>
      </c>
      <c r="K100" s="193" t="str">
        <f>IF(NOT(InputRowUsed73(A70:E70,"MB")),"",IF($F$4="","ENTER FIRE HOURS",IF(COUNTIF('Section B Concrete Cover'!$B$6:$D$6,$F$4)&lt;&gt;1,"CHECK FIRE HOURS",IF(E70&lt;&gt;"Simply-supported","CHECK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0" s="100"/>
      <c r="R100" s="100"/>
      <c r="S100" s="100"/>
      <c r="T100" s="100"/>
      <c r="U100" s="100"/>
      <c r="V100" s="100"/>
      <c r="W100" s="100"/>
      <c r="X100" s="100"/>
      <c r="Y100" s="100"/>
      <c r="Z100" s="100"/>
      <c r="AA100" s="100"/>
      <c r="AB100" s="100"/>
      <c r="AC100" s="100"/>
      <c r="AD100" s="100"/>
      <c r="AE100" s="100"/>
      <c r="AF100" s="100"/>
    </row>
    <row r="101" spans="1:32" ht="22.05" customHeight="1">
      <c r="A101" s="192" t="str">
        <f t="shared" si="23"/>
        <v>MB11</v>
      </c>
      <c r="B101" s="191" t="str">
        <f t="shared" si="24"/>
        <v/>
      </c>
      <c r="C101" s="191" t="str">
        <f t="shared" si="25"/>
        <v/>
      </c>
      <c r="D101" s="191" t="str">
        <f t="shared" si="26"/>
        <v/>
      </c>
      <c r="E101" s="191" t="str">
        <f t="shared" si="27"/>
        <v/>
      </c>
      <c r="F101" s="191" t="str">
        <f t="shared" si="28"/>
        <v/>
      </c>
      <c r="G101" s="191" t="str">
        <f t="shared" si="29"/>
        <v/>
      </c>
      <c r="H101" s="191" t="str">
        <f>IF(COUNTIF(RCLoadResults73[Member],A71),INDEX(RCLoadResults73[M],MATCH(A71,RCLoadResults73[Member],0)),IF(J101="OK",MBEffect66(1,A71:E71,$A$31:$AK$50,$G$61:$P$80),""))</f>
        <v/>
      </c>
      <c r="I101" s="191" t="str">
        <f>IF(COUNTIF(RCLoadResults73[Member],A71),INDEX(RCLoadResults73[V],MATCH(A71,RCLoadResults73[Member],0)),IF(J101="OK",MBEffect66(2,A71:E71,$A$31:$AK$50,$G$61:$P$80),""))</f>
        <v/>
      </c>
      <c r="J101" s="191" t="str">
        <f>IF(COUNTIF(RCLoadResults73[Member],A71),INDEX(RCLoadResults73[Status],MATCH(A71,RCLoadResults73[Member],0)),MBStatus66(A71:E71,$A$61:$E$80,$A$31:$AK$50,$G$61:$K$80))</f>
        <v>UNUSED</v>
      </c>
      <c r="K101" s="193" t="str">
        <f>IF(NOT(InputRowUsed73(A71:E71,"MB")),"",IF($F$4="","ENTER FIRE HOURS",IF(COUNTIF('Section B Concrete Cover'!$B$6:$D$6,$F$4)&lt;&gt;1,"CHECK FIRE HOURS",IF(E71&lt;&gt;"Simply-supported","CHECK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1" s="100"/>
      <c r="R101" s="100"/>
      <c r="S101" s="100"/>
      <c r="T101" s="100"/>
      <c r="U101" s="100"/>
      <c r="V101" s="100"/>
      <c r="W101" s="100"/>
      <c r="X101" s="100"/>
      <c r="Y101" s="100"/>
      <c r="Z101" s="100"/>
      <c r="AA101" s="100"/>
      <c r="AB101" s="100"/>
      <c r="AC101" s="100"/>
      <c r="AD101" s="100"/>
      <c r="AE101" s="100"/>
      <c r="AF101" s="100"/>
    </row>
    <row r="102" spans="1:32" ht="22.05" customHeight="1">
      <c r="A102" s="192" t="str">
        <f t="shared" si="23"/>
        <v>MB12</v>
      </c>
      <c r="B102" s="191" t="str">
        <f t="shared" si="24"/>
        <v/>
      </c>
      <c r="C102" s="191" t="str">
        <f t="shared" si="25"/>
        <v/>
      </c>
      <c r="D102" s="191" t="str">
        <f t="shared" si="26"/>
        <v/>
      </c>
      <c r="E102" s="191" t="str">
        <f t="shared" si="27"/>
        <v/>
      </c>
      <c r="F102" s="191" t="str">
        <f t="shared" si="28"/>
        <v/>
      </c>
      <c r="G102" s="191" t="str">
        <f t="shared" si="29"/>
        <v/>
      </c>
      <c r="H102" s="191" t="str">
        <f>IF(COUNTIF(RCLoadResults73[Member],A72),INDEX(RCLoadResults73[M],MATCH(A72,RCLoadResults73[Member],0)),IF(J102="OK",MBEffect66(1,A72:E72,$A$31:$AK$50,$G$61:$P$80),""))</f>
        <v/>
      </c>
      <c r="I102" s="191" t="str">
        <f>IF(COUNTIF(RCLoadResults73[Member],A72),INDEX(RCLoadResults73[V],MATCH(A72,RCLoadResults73[Member],0)),IF(J102="OK",MBEffect66(2,A72:E72,$A$31:$AK$50,$G$61:$P$80),""))</f>
        <v/>
      </c>
      <c r="J102" s="191" t="str">
        <f>IF(COUNTIF(RCLoadResults73[Member],A72),INDEX(RCLoadResults73[Status],MATCH(A72,RCLoadResults73[Member],0)),MBStatus66(A72:E72,$A$61:$E$80,$A$31:$AK$50,$G$61:$K$80))</f>
        <v>UNUSED</v>
      </c>
      <c r="K102" s="193" t="str">
        <f>IF(NOT(InputRowUsed73(A72:E72,"MB")),"",IF($F$4="","ENTER FIRE HOURS",IF(COUNTIF('Section B Concrete Cover'!$B$6:$D$6,$F$4)&lt;&gt;1,"CHECK FIRE HOURS",IF(E72&lt;&gt;"Simply-supported","CHECK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2" s="100"/>
      <c r="R102" s="100"/>
      <c r="S102" s="100"/>
      <c r="T102" s="100"/>
      <c r="U102" s="100"/>
      <c r="V102" s="100"/>
      <c r="W102" s="100"/>
      <c r="X102" s="100"/>
      <c r="Y102" s="100"/>
      <c r="Z102" s="100"/>
      <c r="AA102" s="100"/>
      <c r="AB102" s="100"/>
      <c r="AC102" s="100"/>
      <c r="AD102" s="100"/>
      <c r="AE102" s="100"/>
      <c r="AF102" s="100"/>
    </row>
    <row r="103" spans="1:32" ht="22.05" customHeight="1">
      <c r="A103" s="192" t="str">
        <f t="shared" si="23"/>
        <v>MB13</v>
      </c>
      <c r="B103" s="191" t="str">
        <f t="shared" si="24"/>
        <v/>
      </c>
      <c r="C103" s="191" t="str">
        <f t="shared" si="25"/>
        <v/>
      </c>
      <c r="D103" s="191" t="str">
        <f t="shared" si="26"/>
        <v/>
      </c>
      <c r="E103" s="191" t="str">
        <f t="shared" si="27"/>
        <v/>
      </c>
      <c r="F103" s="191" t="str">
        <f t="shared" si="28"/>
        <v/>
      </c>
      <c r="G103" s="191" t="str">
        <f t="shared" si="29"/>
        <v/>
      </c>
      <c r="H103" s="191" t="str">
        <f>IF(COUNTIF(RCLoadResults73[Member],A73),INDEX(RCLoadResults73[M],MATCH(A73,RCLoadResults73[Member],0)),IF(J103="OK",MBEffect66(1,A73:E73,$A$31:$AK$50,$G$61:$P$80),""))</f>
        <v/>
      </c>
      <c r="I103" s="191" t="str">
        <f>IF(COUNTIF(RCLoadResults73[Member],A73),INDEX(RCLoadResults73[V],MATCH(A73,RCLoadResults73[Member],0)),IF(J103="OK",MBEffect66(2,A73:E73,$A$31:$AK$50,$G$61:$P$80),""))</f>
        <v/>
      </c>
      <c r="J103" s="191" t="str">
        <f>IF(COUNTIF(RCLoadResults73[Member],A73),INDEX(RCLoadResults73[Status],MATCH(A73,RCLoadResults73[Member],0)),MBStatus66(A73:E73,$A$61:$E$80,$A$31:$AK$50,$G$61:$K$80))</f>
        <v>UNUSED</v>
      </c>
      <c r="K103" s="193" t="str">
        <f>IF(NOT(InputRowUsed73(A73:E73,"MB")),"",IF($F$4="","ENTER FIRE HOURS",IF(COUNTIF('Section B Concrete Cover'!$B$6:$D$6,$F$4)&lt;&gt;1,"CHECK FIRE HOURS",IF(E73&lt;&gt;"Simply-supported","CHECK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3" s="100"/>
      <c r="R103" s="100"/>
      <c r="S103" s="100"/>
      <c r="T103" s="100"/>
      <c r="U103" s="100"/>
      <c r="V103" s="100"/>
      <c r="W103" s="100"/>
      <c r="X103" s="100"/>
      <c r="Y103" s="100"/>
      <c r="Z103" s="100"/>
      <c r="AA103" s="100"/>
      <c r="AB103" s="100"/>
      <c r="AC103" s="100"/>
      <c r="AD103" s="100"/>
      <c r="AE103" s="100"/>
      <c r="AF103" s="100"/>
    </row>
    <row r="104" spans="1:32" ht="22.05" customHeight="1">
      <c r="A104" s="192" t="str">
        <f t="shared" si="23"/>
        <v>MB14</v>
      </c>
      <c r="B104" s="191" t="str">
        <f t="shared" si="24"/>
        <v/>
      </c>
      <c r="C104" s="191" t="str">
        <f t="shared" si="25"/>
        <v/>
      </c>
      <c r="D104" s="191" t="str">
        <f t="shared" si="26"/>
        <v/>
      </c>
      <c r="E104" s="191" t="str">
        <f t="shared" si="27"/>
        <v/>
      </c>
      <c r="F104" s="191" t="str">
        <f t="shared" si="28"/>
        <v/>
      </c>
      <c r="G104" s="191" t="str">
        <f t="shared" si="29"/>
        <v/>
      </c>
      <c r="H104" s="191" t="str">
        <f>IF(COUNTIF(RCLoadResults73[Member],A74),INDEX(RCLoadResults73[M],MATCH(A74,RCLoadResults73[Member],0)),IF(J104="OK",MBEffect66(1,A74:E74,$A$31:$AK$50,$G$61:$P$80),""))</f>
        <v/>
      </c>
      <c r="I104" s="191" t="str">
        <f>IF(COUNTIF(RCLoadResults73[Member],A74),INDEX(RCLoadResults73[V],MATCH(A74,RCLoadResults73[Member],0)),IF(J104="OK",MBEffect66(2,A74:E74,$A$31:$AK$50,$G$61:$P$80),""))</f>
        <v/>
      </c>
      <c r="J104" s="191" t="str">
        <f>IF(COUNTIF(RCLoadResults73[Member],A74),INDEX(RCLoadResults73[Status],MATCH(A74,RCLoadResults73[Member],0)),MBStatus66(A74:E74,$A$61:$E$80,$A$31:$AK$50,$G$61:$K$80))</f>
        <v>UNUSED</v>
      </c>
      <c r="K104" s="193" t="str">
        <f>IF(NOT(InputRowUsed73(A74:E74,"MB")),"",IF($F$4="","ENTER FIRE HOURS",IF(COUNTIF('Section B Concrete Cover'!$B$6:$D$6,$F$4)&lt;&gt;1,"CHECK FIRE HOURS",IF(E74&lt;&gt;"Simply-supported","CHECK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4" s="100"/>
      <c r="R104" s="100"/>
      <c r="S104" s="100"/>
      <c r="T104" s="100"/>
      <c r="U104" s="100"/>
      <c r="V104" s="100"/>
      <c r="W104" s="100"/>
      <c r="X104" s="100"/>
      <c r="Y104" s="100"/>
      <c r="Z104" s="100"/>
      <c r="AA104" s="100"/>
      <c r="AB104" s="100"/>
      <c r="AC104" s="100"/>
      <c r="AD104" s="100"/>
      <c r="AE104" s="100"/>
      <c r="AF104" s="100"/>
    </row>
    <row r="105" spans="1:32" ht="22.05" customHeight="1">
      <c r="A105" s="192" t="str">
        <f t="shared" si="23"/>
        <v>MB15</v>
      </c>
      <c r="B105" s="191" t="str">
        <f t="shared" si="24"/>
        <v/>
      </c>
      <c r="C105" s="191" t="str">
        <f t="shared" si="25"/>
        <v/>
      </c>
      <c r="D105" s="191" t="str">
        <f t="shared" si="26"/>
        <v/>
      </c>
      <c r="E105" s="191" t="str">
        <f t="shared" si="27"/>
        <v/>
      </c>
      <c r="F105" s="191" t="str">
        <f t="shared" si="28"/>
        <v/>
      </c>
      <c r="G105" s="191" t="str">
        <f t="shared" si="29"/>
        <v/>
      </c>
      <c r="H105" s="191" t="str">
        <f>IF(COUNTIF(RCLoadResults73[Member],A75),INDEX(RCLoadResults73[M],MATCH(A75,RCLoadResults73[Member],0)),IF(J105="OK",MBEffect66(1,A75:E75,$A$31:$AK$50,$G$61:$P$80),""))</f>
        <v/>
      </c>
      <c r="I105" s="191" t="str">
        <f>IF(COUNTIF(RCLoadResults73[Member],A75),INDEX(RCLoadResults73[V],MATCH(A75,RCLoadResults73[Member],0)),IF(J105="OK",MBEffect66(2,A75:E75,$A$31:$AK$50,$G$61:$P$80),""))</f>
        <v/>
      </c>
      <c r="J105" s="191" t="str">
        <f>IF(COUNTIF(RCLoadResults73[Member],A75),INDEX(RCLoadResults73[Status],MATCH(A75,RCLoadResults73[Member],0)),MBStatus66(A75:E75,$A$61:$E$80,$A$31:$AK$50,$G$61:$K$80))</f>
        <v>UNUSED</v>
      </c>
      <c r="K105" s="193" t="str">
        <f>IF(NOT(InputRowUsed73(A75:E75,"MB")),"",IF($F$4="","ENTER FIRE HOURS",IF(COUNTIF('Section B Concrete Cover'!$B$6:$D$6,$F$4)&lt;&gt;1,"CHECK FIRE HOURS",IF(E75&lt;&gt;"Simply-supported","CHECK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5" s="100"/>
      <c r="R105" s="100"/>
      <c r="S105" s="100"/>
      <c r="T105" s="100"/>
      <c r="U105" s="100"/>
      <c r="V105" s="100"/>
      <c r="W105" s="100"/>
      <c r="X105" s="100"/>
      <c r="Y105" s="100"/>
      <c r="Z105" s="100"/>
      <c r="AA105" s="100"/>
      <c r="AB105" s="100"/>
      <c r="AC105" s="100"/>
      <c r="AD105" s="100"/>
      <c r="AE105" s="100"/>
      <c r="AF105" s="100"/>
    </row>
    <row r="106" spans="1:32" ht="22.05" customHeight="1">
      <c r="A106" s="192" t="str">
        <f t="shared" si="23"/>
        <v>MB16</v>
      </c>
      <c r="B106" s="191" t="str">
        <f t="shared" si="24"/>
        <v/>
      </c>
      <c r="C106" s="191" t="str">
        <f t="shared" si="25"/>
        <v/>
      </c>
      <c r="D106" s="191" t="str">
        <f t="shared" si="26"/>
        <v/>
      </c>
      <c r="E106" s="191" t="str">
        <f t="shared" si="27"/>
        <v/>
      </c>
      <c r="F106" s="191" t="str">
        <f t="shared" si="28"/>
        <v/>
      </c>
      <c r="G106" s="191" t="str">
        <f t="shared" si="29"/>
        <v/>
      </c>
      <c r="H106" s="191" t="str">
        <f>IF(COUNTIF(RCLoadResults73[Member],A76),INDEX(RCLoadResults73[M],MATCH(A76,RCLoadResults73[Member],0)),IF(J106="OK",MBEffect66(1,A76:E76,$A$31:$AK$50,$G$61:$P$80),""))</f>
        <v/>
      </c>
      <c r="I106" s="191" t="str">
        <f>IF(COUNTIF(RCLoadResults73[Member],A76),INDEX(RCLoadResults73[V],MATCH(A76,RCLoadResults73[Member],0)),IF(J106="OK",MBEffect66(2,A76:E76,$A$31:$AK$50,$G$61:$P$80),""))</f>
        <v/>
      </c>
      <c r="J106" s="191" t="str">
        <f>IF(COUNTIF(RCLoadResults73[Member],A76),INDEX(RCLoadResults73[Status],MATCH(A76,RCLoadResults73[Member],0)),MBStatus66(A76:E76,$A$61:$E$80,$A$31:$AK$50,$G$61:$K$80))</f>
        <v>UNUSED</v>
      </c>
      <c r="K106" s="193" t="str">
        <f>IF(NOT(InputRowUsed73(A76:E76,"MB")),"",IF($F$4="","ENTER FIRE HOURS",IF(COUNTIF('Section B Concrete Cover'!$B$6:$D$6,$F$4)&lt;&gt;1,"CHECK FIRE HOURS",IF(E76&lt;&gt;"Simply-supported","CHECK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6" s="100"/>
      <c r="R106" s="100"/>
      <c r="S106" s="100"/>
      <c r="T106" s="100"/>
      <c r="U106" s="100"/>
      <c r="V106" s="100"/>
      <c r="W106" s="100"/>
      <c r="X106" s="100"/>
      <c r="Y106" s="100"/>
      <c r="Z106" s="100"/>
      <c r="AA106" s="100"/>
      <c r="AB106" s="100"/>
      <c r="AC106" s="100"/>
      <c r="AD106" s="100"/>
      <c r="AE106" s="100"/>
      <c r="AF106" s="100"/>
    </row>
    <row r="107" spans="1:32" ht="22.05" customHeight="1">
      <c r="A107" s="192" t="str">
        <f t="shared" si="23"/>
        <v>MB17</v>
      </c>
      <c r="B107" s="191" t="str">
        <f t="shared" si="24"/>
        <v/>
      </c>
      <c r="C107" s="191" t="str">
        <f t="shared" si="25"/>
        <v/>
      </c>
      <c r="D107" s="191" t="str">
        <f t="shared" si="26"/>
        <v/>
      </c>
      <c r="E107" s="191" t="str">
        <f t="shared" si="27"/>
        <v/>
      </c>
      <c r="F107" s="191" t="str">
        <f t="shared" si="28"/>
        <v/>
      </c>
      <c r="G107" s="191" t="str">
        <f t="shared" si="29"/>
        <v/>
      </c>
      <c r="H107" s="191" t="str">
        <f>IF(COUNTIF(RCLoadResults73[Member],A77),INDEX(RCLoadResults73[M],MATCH(A77,RCLoadResults73[Member],0)),IF(J107="OK",MBEffect66(1,A77:E77,$A$31:$AK$50,$G$61:$P$80),""))</f>
        <v/>
      </c>
      <c r="I107" s="191" t="str">
        <f>IF(COUNTIF(RCLoadResults73[Member],A77),INDEX(RCLoadResults73[V],MATCH(A77,RCLoadResults73[Member],0)),IF(J107="OK",MBEffect66(2,A77:E77,$A$31:$AK$50,$G$61:$P$80),""))</f>
        <v/>
      </c>
      <c r="J107" s="191" t="str">
        <f>IF(COUNTIF(RCLoadResults73[Member],A77),INDEX(RCLoadResults73[Status],MATCH(A77,RCLoadResults73[Member],0)),MBStatus66(A77:E77,$A$61:$E$80,$A$31:$AK$50,$G$61:$K$80))</f>
        <v>UNUSED</v>
      </c>
      <c r="K107" s="193" t="str">
        <f>IF(NOT(InputRowUsed73(A77:E77,"MB")),"",IF($F$4="","ENTER FIRE HOURS",IF(COUNTIF('Section B Concrete Cover'!$B$6:$D$6,$F$4)&lt;&gt;1,"CHECK FIRE HOURS",IF(E77&lt;&gt;"Simply-supported","CHECK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7" s="100"/>
      <c r="R107" s="100"/>
      <c r="S107" s="100"/>
      <c r="T107" s="100"/>
      <c r="U107" s="100"/>
      <c r="V107" s="100"/>
      <c r="W107" s="100"/>
      <c r="X107" s="100"/>
      <c r="Y107" s="100"/>
      <c r="Z107" s="100"/>
      <c r="AA107" s="100"/>
      <c r="AB107" s="100"/>
      <c r="AC107" s="100"/>
      <c r="AD107" s="100"/>
      <c r="AE107" s="100"/>
      <c r="AF107" s="100"/>
    </row>
    <row r="108" spans="1:32" ht="22.05" customHeight="1">
      <c r="A108" s="192" t="str">
        <f t="shared" si="23"/>
        <v>MB18</v>
      </c>
      <c r="B108" s="191" t="str">
        <f t="shared" si="24"/>
        <v/>
      </c>
      <c r="C108" s="191" t="str">
        <f t="shared" si="25"/>
        <v/>
      </c>
      <c r="D108" s="191" t="str">
        <f t="shared" si="26"/>
        <v/>
      </c>
      <c r="E108" s="191" t="str">
        <f t="shared" si="27"/>
        <v/>
      </c>
      <c r="F108" s="191" t="str">
        <f t="shared" si="28"/>
        <v/>
      </c>
      <c r="G108" s="191" t="str">
        <f t="shared" si="29"/>
        <v/>
      </c>
      <c r="H108" s="191" t="str">
        <f>IF(COUNTIF(RCLoadResults73[Member],A78),INDEX(RCLoadResults73[M],MATCH(A78,RCLoadResults73[Member],0)),IF(J108="OK",MBEffect66(1,A78:E78,$A$31:$AK$50,$G$61:$P$80),""))</f>
        <v/>
      </c>
      <c r="I108" s="191" t="str">
        <f>IF(COUNTIF(RCLoadResults73[Member],A78),INDEX(RCLoadResults73[V],MATCH(A78,RCLoadResults73[Member],0)),IF(J108="OK",MBEffect66(2,A78:E78,$A$31:$AK$50,$G$61:$P$80),""))</f>
        <v/>
      </c>
      <c r="J108" s="191" t="str">
        <f>IF(COUNTIF(RCLoadResults73[Member],A78),INDEX(RCLoadResults73[Status],MATCH(A78,RCLoadResults73[Member],0)),MBStatus66(A78:E78,$A$61:$E$80,$A$31:$AK$50,$G$61:$K$80))</f>
        <v>UNUSED</v>
      </c>
      <c r="K108" s="193" t="str">
        <f>IF(NOT(InputRowUsed73(A78:E78,"MB")),"",IF($F$4="","ENTER FIRE HOURS",IF(COUNTIF('Section B Concrete Cover'!$B$6:$D$6,$F$4)&lt;&gt;1,"CHECK FIRE HOURS",IF(E78&lt;&gt;"Simply-supported","CHECK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8" s="100"/>
      <c r="R108" s="100"/>
      <c r="S108" s="100"/>
      <c r="T108" s="100"/>
      <c r="U108" s="100"/>
      <c r="V108" s="100"/>
      <c r="W108" s="100"/>
      <c r="X108" s="100"/>
      <c r="Y108" s="100"/>
      <c r="Z108" s="100"/>
      <c r="AA108" s="100"/>
      <c r="AB108" s="100"/>
      <c r="AC108" s="100"/>
      <c r="AD108" s="100"/>
      <c r="AE108" s="100"/>
      <c r="AF108" s="100"/>
    </row>
    <row r="109" spans="1:32" ht="22.05" customHeight="1">
      <c r="A109" s="192" t="str">
        <f t="shared" si="23"/>
        <v>MB19</v>
      </c>
      <c r="B109" s="191" t="str">
        <f t="shared" si="24"/>
        <v/>
      </c>
      <c r="C109" s="191" t="str">
        <f t="shared" si="25"/>
        <v/>
      </c>
      <c r="D109" s="191" t="str">
        <f t="shared" si="26"/>
        <v/>
      </c>
      <c r="E109" s="191" t="str">
        <f t="shared" si="27"/>
        <v/>
      </c>
      <c r="F109" s="191" t="str">
        <f t="shared" si="28"/>
        <v/>
      </c>
      <c r="G109" s="191" t="str">
        <f t="shared" si="29"/>
        <v/>
      </c>
      <c r="H109" s="191" t="str">
        <f>IF(COUNTIF(RCLoadResults73[Member],A79),INDEX(RCLoadResults73[M],MATCH(A79,RCLoadResults73[Member],0)),IF(J109="OK",MBEffect66(1,A79:E79,$A$31:$AK$50,$G$61:$P$80),""))</f>
        <v/>
      </c>
      <c r="I109" s="191" t="str">
        <f>IF(COUNTIF(RCLoadResults73[Member],A79),INDEX(RCLoadResults73[V],MATCH(A79,RCLoadResults73[Member],0)),IF(J109="OK",MBEffect66(2,A79:E79,$A$31:$AK$50,$G$61:$P$80),""))</f>
        <v/>
      </c>
      <c r="J109" s="191" t="str">
        <f>IF(COUNTIF(RCLoadResults73[Member],A79),INDEX(RCLoadResults73[Status],MATCH(A79,RCLoadResults73[Member],0)),MBStatus66(A79:E79,$A$61:$E$80,$A$31:$AK$50,$G$61:$K$80))</f>
        <v>UNUSED</v>
      </c>
      <c r="K109" s="193" t="str">
        <f>IF(NOT(InputRowUsed73(A79:E79,"MB")),"",IF($F$4="","ENTER FIRE HOURS",IF(COUNTIF('Section B Concrete Cover'!$B$6:$D$6,$F$4)&lt;&gt;1,"CHECK FIRE HOURS",IF(E79&lt;&gt;"Simply-supported","CHECK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9" s="100"/>
      <c r="R109" s="100"/>
      <c r="S109" s="100"/>
      <c r="T109" s="100"/>
      <c r="U109" s="100"/>
      <c r="V109" s="100"/>
      <c r="W109" s="100"/>
      <c r="X109" s="100"/>
      <c r="Y109" s="100"/>
      <c r="Z109" s="100"/>
      <c r="AA109" s="100"/>
      <c r="AB109" s="100"/>
      <c r="AC109" s="100"/>
      <c r="AD109" s="100"/>
      <c r="AE109" s="100"/>
      <c r="AF109" s="100"/>
    </row>
    <row r="110" spans="1:32" ht="22.05" customHeight="1">
      <c r="A110" s="192" t="str">
        <f t="shared" si="23"/>
        <v>MB20</v>
      </c>
      <c r="B110" s="191" t="str">
        <f t="shared" si="24"/>
        <v/>
      </c>
      <c r="C110" s="191" t="str">
        <f t="shared" si="25"/>
        <v/>
      </c>
      <c r="D110" s="191" t="str">
        <f t="shared" si="26"/>
        <v/>
      </c>
      <c r="E110" s="191" t="str">
        <f t="shared" si="27"/>
        <v/>
      </c>
      <c r="F110" s="191" t="str">
        <f t="shared" si="28"/>
        <v/>
      </c>
      <c r="G110" s="191" t="str">
        <f t="shared" si="29"/>
        <v/>
      </c>
      <c r="H110" s="191" t="str">
        <f>IF(COUNTIF(RCLoadResults73[Member],A80),INDEX(RCLoadResults73[M],MATCH(A80,RCLoadResults73[Member],0)),IF(J110="OK",MBEffect66(1,A80:E80,$A$31:$AK$50,$G$61:$P$80),""))</f>
        <v/>
      </c>
      <c r="I110" s="191" t="str">
        <f>IF(COUNTIF(RCLoadResults73[Member],A80),INDEX(RCLoadResults73[V],MATCH(A80,RCLoadResults73[Member],0)),IF(J110="OK",MBEffect66(2,A80:E80,$A$31:$AK$50,$G$61:$P$80),""))</f>
        <v/>
      </c>
      <c r="J110" s="191" t="str">
        <f>IF(COUNTIF(RCLoadResults73[Member],A80),INDEX(RCLoadResults73[Status],MATCH(A80,RCLoadResults73[Member],0)),MBStatus66(A80:E80,$A$61:$E$80,$A$31:$AK$50,$G$61:$K$80))</f>
        <v>UNUSED</v>
      </c>
      <c r="K110" s="193" t="str">
        <f>IF(NOT(InputRowUsed73(A80:E80,"MB")),"",IF($F$4="","ENTER FIRE HOURS",IF(COUNTIF('Section B Concrete Cover'!$B$6:$D$6,$F$4)&lt;&gt;1,"CHECK FIRE HOURS",IF(E80&lt;&gt;"Simply-supported","CHECK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10" s="100"/>
      <c r="R110" s="100"/>
      <c r="S110" s="100"/>
      <c r="T110" s="100"/>
      <c r="U110" s="100"/>
      <c r="V110" s="100"/>
      <c r="W110" s="100"/>
      <c r="X110" s="100"/>
      <c r="Y110" s="100"/>
      <c r="Z110" s="100"/>
      <c r="AA110" s="100"/>
      <c r="AB110" s="100"/>
      <c r="AC110" s="100"/>
      <c r="AD110" s="100"/>
      <c r="AE110" s="100"/>
      <c r="AF110" s="100"/>
    </row>
    <row r="111" spans="1:32" ht="21" customHeight="1">
      <c r="Q111" s="100"/>
      <c r="R111" s="100"/>
      <c r="S111" s="100"/>
      <c r="T111" s="100"/>
      <c r="U111" s="100"/>
      <c r="V111" s="100"/>
      <c r="W111" s="100"/>
      <c r="X111" s="100"/>
      <c r="Y111" s="100"/>
      <c r="Z111" s="100"/>
      <c r="AA111" s="100"/>
      <c r="AB111" s="100"/>
      <c r="AC111" s="100"/>
      <c r="AD111" s="100"/>
      <c r="AE111" s="100"/>
      <c r="AF111" s="100"/>
    </row>
    <row r="112" spans="1:32" ht="21" customHeight="1">
      <c r="Q112" s="100"/>
      <c r="R112" s="100"/>
      <c r="S112" s="100"/>
      <c r="T112" s="100"/>
      <c r="U112" s="100"/>
      <c r="V112" s="100"/>
      <c r="W112" s="100"/>
      <c r="X112" s="100"/>
      <c r="Y112" s="100"/>
      <c r="Z112" s="100"/>
      <c r="AA112" s="100"/>
      <c r="AB112" s="100"/>
      <c r="AC112" s="100"/>
      <c r="AD112" s="100"/>
      <c r="AE112" s="100"/>
      <c r="AF112" s="100"/>
    </row>
    <row r="113" spans="17:32" ht="21" customHeight="1">
      <c r="Q113" s="100"/>
      <c r="R113" s="100"/>
      <c r="S113" s="100"/>
      <c r="T113" s="100"/>
      <c r="U113" s="100"/>
      <c r="V113" s="100"/>
      <c r="W113" s="100"/>
      <c r="X113" s="100"/>
      <c r="Y113" s="100"/>
      <c r="Z113" s="100"/>
      <c r="AA113" s="100"/>
      <c r="AB113" s="100"/>
      <c r="AC113" s="100"/>
      <c r="AD113" s="100"/>
      <c r="AE113" s="100"/>
      <c r="AF113" s="100"/>
    </row>
    <row r="114" spans="17:32" ht="21" customHeight="1">
      <c r="Q114" s="100"/>
      <c r="R114" s="100"/>
      <c r="S114" s="100"/>
      <c r="T114" s="100"/>
      <c r="U114" s="100"/>
      <c r="V114" s="100"/>
      <c r="W114" s="100"/>
      <c r="X114" s="100"/>
      <c r="Y114" s="100"/>
      <c r="Z114" s="100"/>
      <c r="AA114" s="100"/>
      <c r="AB114" s="100"/>
      <c r="AC114" s="100"/>
      <c r="AD114" s="100"/>
      <c r="AE114" s="100"/>
      <c r="AF114" s="100"/>
    </row>
    <row r="115" spans="17:32" ht="21" customHeight="1">
      <c r="Q115" s="100"/>
      <c r="R115" s="100"/>
      <c r="S115" s="100"/>
      <c r="T115" s="100"/>
      <c r="U115" s="100"/>
      <c r="V115" s="100"/>
      <c r="W115" s="100"/>
      <c r="X115" s="100"/>
      <c r="Y115" s="100"/>
      <c r="Z115" s="100"/>
      <c r="AA115" s="100"/>
      <c r="AB115" s="100"/>
      <c r="AC115" s="100"/>
      <c r="AD115" s="100"/>
      <c r="AE115" s="100"/>
      <c r="AF115" s="100"/>
    </row>
    <row r="116" spans="17:32" ht="21" customHeight="1">
      <c r="Q116" s="100"/>
      <c r="R116" s="100"/>
      <c r="S116" s="100"/>
      <c r="T116" s="100"/>
      <c r="U116" s="100"/>
      <c r="V116" s="100"/>
      <c r="W116" s="100"/>
      <c r="X116" s="100"/>
      <c r="Y116" s="100"/>
      <c r="Z116" s="100"/>
      <c r="AA116" s="100"/>
      <c r="AB116" s="100"/>
      <c r="AC116" s="100"/>
      <c r="AD116" s="100"/>
      <c r="AE116" s="100"/>
      <c r="AF116" s="100"/>
    </row>
    <row r="117" spans="17:32" ht="21" customHeight="1">
      <c r="Q117" s="100"/>
      <c r="R117" s="100"/>
      <c r="S117" s="100"/>
      <c r="T117" s="100"/>
      <c r="U117" s="100"/>
      <c r="V117" s="100"/>
      <c r="W117" s="100"/>
      <c r="X117" s="100"/>
      <c r="Y117" s="100"/>
      <c r="Z117" s="100"/>
      <c r="AA117" s="100"/>
      <c r="AB117" s="100"/>
      <c r="AC117" s="100"/>
      <c r="AD117" s="100"/>
      <c r="AE117" s="100"/>
      <c r="AF117" s="100"/>
    </row>
    <row r="118" spans="17:32" ht="21" customHeight="1">
      <c r="Q118" s="100"/>
      <c r="R118" s="100"/>
      <c r="S118" s="100"/>
      <c r="T118" s="100"/>
      <c r="U118" s="100"/>
      <c r="V118" s="100"/>
      <c r="W118" s="100"/>
      <c r="X118" s="100"/>
      <c r="Y118" s="100"/>
      <c r="Z118" s="100"/>
      <c r="AA118" s="100"/>
      <c r="AB118" s="100"/>
      <c r="AC118" s="100"/>
      <c r="AD118" s="100"/>
      <c r="AE118" s="100"/>
      <c r="AF118" s="100"/>
    </row>
    <row r="119" spans="17:32" ht="21" customHeight="1">
      <c r="Q119" s="100"/>
      <c r="R119" s="100"/>
      <c r="S119" s="100"/>
      <c r="T119" s="100"/>
      <c r="U119" s="100"/>
      <c r="V119" s="100"/>
      <c r="W119" s="100"/>
      <c r="X119" s="100"/>
      <c r="Y119" s="100"/>
      <c r="Z119" s="100"/>
      <c r="AA119" s="100"/>
      <c r="AB119" s="100"/>
      <c r="AC119" s="100"/>
      <c r="AD119" s="100"/>
      <c r="AE119" s="100"/>
      <c r="AF119" s="100"/>
    </row>
    <row r="120" spans="17:32" ht="21" customHeight="1">
      <c r="Q120" s="100"/>
      <c r="R120" s="100"/>
      <c r="S120" s="100"/>
      <c r="T120" s="100"/>
      <c r="U120" s="100"/>
      <c r="V120" s="100"/>
      <c r="W120" s="100"/>
      <c r="X120" s="100"/>
      <c r="Y120" s="100"/>
      <c r="Z120" s="100"/>
      <c r="AA120" s="100"/>
      <c r="AB120" s="100"/>
      <c r="AC120" s="100"/>
      <c r="AD120" s="100"/>
      <c r="AE120" s="100"/>
      <c r="AF120" s="100"/>
    </row>
    <row r="121" spans="17:32" ht="21" customHeight="1">
      <c r="Q121" s="100"/>
      <c r="R121" s="100"/>
      <c r="S121" s="100"/>
      <c r="T121" s="100"/>
      <c r="U121" s="100"/>
      <c r="V121" s="100"/>
      <c r="W121" s="100"/>
      <c r="X121" s="100"/>
      <c r="Y121" s="100"/>
      <c r="Z121" s="100"/>
      <c r="AA121" s="100"/>
      <c r="AB121" s="100"/>
      <c r="AC121" s="100"/>
      <c r="AD121" s="100"/>
      <c r="AE121" s="100"/>
      <c r="AF121" s="100"/>
    </row>
    <row r="122" spans="17:32" ht="21" customHeight="1">
      <c r="Q122" s="100"/>
      <c r="R122" s="100"/>
      <c r="S122" s="100"/>
      <c r="T122" s="100"/>
      <c r="U122" s="100"/>
      <c r="V122" s="100"/>
      <c r="W122" s="100"/>
      <c r="X122" s="100"/>
      <c r="Y122" s="100"/>
      <c r="Z122" s="100"/>
      <c r="AA122" s="100"/>
      <c r="AB122" s="100"/>
      <c r="AC122" s="100"/>
      <c r="AD122" s="100"/>
      <c r="AE122" s="100"/>
      <c r="AF122" s="100"/>
    </row>
    <row r="123" spans="17:32" ht="21" customHeight="1">
      <c r="Q123" s="100"/>
      <c r="R123" s="100"/>
      <c r="S123" s="100"/>
      <c r="T123" s="100"/>
      <c r="U123" s="100"/>
      <c r="V123" s="100"/>
      <c r="W123" s="100"/>
      <c r="X123" s="100"/>
      <c r="Y123" s="100"/>
      <c r="Z123" s="100"/>
      <c r="AA123" s="100"/>
      <c r="AB123" s="100"/>
      <c r="AC123" s="100"/>
      <c r="AD123" s="100"/>
      <c r="AE123" s="100"/>
      <c r="AF123" s="100"/>
    </row>
    <row r="124" spans="17:32" ht="21" customHeight="1">
      <c r="Q124" s="100"/>
      <c r="R124" s="100"/>
      <c r="S124" s="100"/>
      <c r="T124" s="100"/>
      <c r="U124" s="100"/>
      <c r="V124" s="100"/>
      <c r="W124" s="100"/>
      <c r="X124" s="100"/>
      <c r="Y124" s="100"/>
      <c r="Z124" s="100"/>
      <c r="AA124" s="100"/>
      <c r="AB124" s="100"/>
      <c r="AC124" s="100"/>
      <c r="AD124" s="100"/>
      <c r="AE124" s="100"/>
      <c r="AF124" s="100"/>
    </row>
    <row r="125" spans="17:32" ht="21" customHeight="1">
      <c r="Q125" s="100"/>
      <c r="R125" s="100"/>
      <c r="S125" s="100"/>
      <c r="T125" s="100"/>
      <c r="U125" s="100"/>
      <c r="V125" s="100"/>
      <c r="W125" s="100"/>
      <c r="X125" s="100"/>
      <c r="Y125" s="100"/>
      <c r="Z125" s="100"/>
      <c r="AA125" s="100"/>
      <c r="AB125" s="100"/>
      <c r="AC125" s="100"/>
      <c r="AD125" s="100"/>
      <c r="AE125" s="100"/>
      <c r="AF125" s="100"/>
    </row>
    <row r="126" spans="17:32" ht="21" customHeight="1">
      <c r="Q126" s="100"/>
      <c r="R126" s="100"/>
      <c r="S126" s="100"/>
      <c r="T126" s="100"/>
      <c r="U126" s="100"/>
      <c r="V126" s="100"/>
      <c r="W126" s="100"/>
      <c r="X126" s="100"/>
      <c r="Y126" s="100"/>
      <c r="Z126" s="100"/>
      <c r="AA126" s="100"/>
      <c r="AB126" s="100"/>
      <c r="AC126" s="100"/>
      <c r="AD126" s="100"/>
      <c r="AE126" s="100"/>
      <c r="AF126" s="100"/>
    </row>
    <row r="127" spans="17:32" ht="21" customHeight="1">
      <c r="Q127" s="100"/>
      <c r="R127" s="100"/>
      <c r="S127" s="100"/>
      <c r="T127" s="100"/>
      <c r="U127" s="100"/>
      <c r="V127" s="100"/>
      <c r="W127" s="100"/>
      <c r="X127" s="100"/>
      <c r="Y127" s="100"/>
      <c r="Z127" s="100"/>
      <c r="AA127" s="100"/>
      <c r="AB127" s="100"/>
      <c r="AC127" s="100"/>
      <c r="AD127" s="100"/>
      <c r="AE127" s="100"/>
      <c r="AF127" s="100"/>
    </row>
    <row r="128" spans="17:32" ht="21" customHeight="1">
      <c r="Q128" s="100"/>
      <c r="R128" s="100"/>
      <c r="S128" s="100"/>
      <c r="T128" s="100"/>
      <c r="U128" s="100"/>
      <c r="V128" s="100"/>
      <c r="W128" s="100"/>
      <c r="X128" s="100"/>
      <c r="Y128" s="100"/>
      <c r="Z128" s="100"/>
      <c r="AA128" s="100"/>
      <c r="AB128" s="100"/>
      <c r="AC128" s="100"/>
      <c r="AD128" s="100"/>
      <c r="AE128" s="100"/>
      <c r="AF128" s="100"/>
    </row>
    <row r="129" spans="1:32" ht="16.95" customHeight="1">
      <c r="Q129" s="100"/>
      <c r="R129" s="100"/>
      <c r="S129" s="100"/>
      <c r="T129" s="100"/>
      <c r="U129" s="100"/>
      <c r="V129" s="100"/>
      <c r="W129" s="100"/>
      <c r="X129" s="100"/>
      <c r="Y129" s="100"/>
      <c r="Z129" s="100"/>
      <c r="AA129" s="100"/>
      <c r="AB129" s="100"/>
      <c r="AC129" s="100"/>
      <c r="AD129" s="100"/>
      <c r="AE129" s="100"/>
      <c r="AF129" s="100"/>
    </row>
    <row r="130" spans="1:32" ht="16.95" customHeight="1">
      <c r="Q130" s="100"/>
      <c r="R130" s="100"/>
      <c r="S130" s="100"/>
      <c r="T130" s="100"/>
      <c r="U130" s="100"/>
      <c r="V130" s="100"/>
      <c r="W130" s="100"/>
      <c r="X130" s="100"/>
      <c r="Y130" s="100"/>
      <c r="Z130" s="100"/>
      <c r="AA130" s="100"/>
      <c r="AB130" s="100"/>
      <c r="AC130" s="100"/>
      <c r="AD130" s="100"/>
      <c r="AE130" s="100"/>
      <c r="AF130" s="100"/>
    </row>
    <row r="131" spans="1:32" ht="21" customHeight="1">
      <c r="Q131" s="100"/>
      <c r="R131" s="100"/>
      <c r="S131" s="100"/>
      <c r="T131" s="100"/>
      <c r="U131" s="100"/>
      <c r="V131" s="100"/>
      <c r="W131" s="100"/>
      <c r="X131" s="100"/>
      <c r="Y131" s="100"/>
      <c r="Z131" s="100"/>
      <c r="AA131" s="100"/>
      <c r="AB131" s="100"/>
      <c r="AC131" s="100"/>
      <c r="AD131" s="100"/>
      <c r="AE131" s="100"/>
      <c r="AF131" s="100"/>
    </row>
    <row r="132" spans="1:32" ht="21" customHeight="1">
      <c r="Q132" s="100"/>
      <c r="R132" s="100"/>
      <c r="S132" s="100"/>
      <c r="T132" s="100"/>
      <c r="U132" s="100"/>
      <c r="V132" s="100"/>
      <c r="W132" s="100"/>
      <c r="X132" s="100"/>
      <c r="Y132" s="100"/>
      <c r="Z132" s="100"/>
      <c r="AA132" s="100"/>
      <c r="AB132" s="100"/>
      <c r="AC132" s="100"/>
      <c r="AD132" s="100"/>
      <c r="AE132" s="100"/>
      <c r="AF132" s="100"/>
    </row>
    <row r="133" spans="1:32">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row>
    <row r="138" spans="1:32" ht="18" customHeight="1">
      <c r="A138" s="424" t="s">
        <v>833</v>
      </c>
      <c r="B138" s="424"/>
      <c r="C138" s="424"/>
      <c r="D138" s="424"/>
      <c r="E138" s="424"/>
      <c r="F138" s="424"/>
      <c r="G138" s="424"/>
      <c r="H138" s="424"/>
      <c r="I138" s="424"/>
      <c r="J138" s="424"/>
      <c r="K138" s="424"/>
      <c r="L138" s="424"/>
      <c r="M138" s="424"/>
      <c r="N138" s="424"/>
      <c r="O138" s="424"/>
      <c r="P138" s="424"/>
    </row>
    <row r="139" spans="1:32" ht="18" customHeight="1">
      <c r="A139" s="424"/>
      <c r="B139" s="424"/>
      <c r="C139" s="424"/>
      <c r="D139" s="424"/>
      <c r="E139" s="424"/>
      <c r="F139" s="424"/>
      <c r="G139" s="424"/>
      <c r="H139" s="424"/>
      <c r="I139" s="424"/>
      <c r="J139" s="424"/>
      <c r="K139" s="424"/>
      <c r="L139" s="424"/>
      <c r="M139" s="424"/>
      <c r="N139" s="424"/>
      <c r="O139" s="424"/>
      <c r="P139" s="424"/>
    </row>
    <row r="140" spans="1:32" ht="18" customHeight="1">
      <c r="A140" s="425" t="str">
        <f>"Selected secondary beam: "&amp;I3&amp;". Left / right is viewed outward from the main beam."</f>
        <v>Selected secondary beam: SB1. Left / right is viewed outward from the main beam.</v>
      </c>
      <c r="B140" s="426"/>
      <c r="C140" s="426"/>
      <c r="D140" s="426"/>
      <c r="E140" s="426"/>
      <c r="F140" s="426"/>
      <c r="G140" s="426"/>
      <c r="H140" s="426"/>
      <c r="I140" s="426"/>
      <c r="J140" s="426"/>
      <c r="K140" s="426"/>
      <c r="L140" s="426"/>
      <c r="M140" s="426"/>
      <c r="N140" s="426"/>
      <c r="O140" s="426"/>
      <c r="P140" s="426"/>
    </row>
    <row r="141" spans="1:32" ht="18" customHeight="1">
      <c r="A141" s="99"/>
      <c r="B141" s="99"/>
      <c r="C141" s="99"/>
      <c r="D141" s="99"/>
      <c r="E141" s="99"/>
      <c r="F141" s="99"/>
      <c r="G141" s="99"/>
      <c r="H141" s="99"/>
      <c r="I141" s="99"/>
      <c r="J141" s="99"/>
      <c r="K141" s="99"/>
      <c r="L141" s="99"/>
      <c r="M141" s="99"/>
      <c r="N141" s="99"/>
      <c r="O141" s="99"/>
      <c r="P141" s="99"/>
    </row>
    <row r="142" spans="1:32" ht="18" customHeight="1">
      <c r="A142" s="99"/>
      <c r="B142" s="99"/>
      <c r="C142" s="99"/>
      <c r="D142" s="99"/>
      <c r="E142" s="99"/>
      <c r="F142" s="99"/>
      <c r="G142" s="99"/>
      <c r="H142" s="99"/>
      <c r="I142" s="99"/>
      <c r="J142" s="99"/>
      <c r="K142" s="99"/>
      <c r="L142" s="99"/>
      <c r="M142" s="99"/>
      <c r="N142" s="99"/>
      <c r="O142" s="99"/>
      <c r="P142" s="99"/>
    </row>
    <row r="143" spans="1:32" ht="18" customHeight="1">
      <c r="A143" s="99"/>
      <c r="B143" s="99"/>
      <c r="C143" s="99"/>
      <c r="D143" s="99"/>
      <c r="E143" s="99"/>
      <c r="F143" s="99"/>
      <c r="G143" s="99"/>
      <c r="H143" s="99"/>
      <c r="I143" s="99"/>
      <c r="J143" s="99"/>
      <c r="K143" s="99"/>
      <c r="L143" s="99"/>
      <c r="M143" s="99"/>
      <c r="N143" s="99"/>
      <c r="O143" s="99"/>
      <c r="P143" s="99"/>
    </row>
    <row r="144" spans="1:32" ht="18" customHeight="1">
      <c r="A144" s="99"/>
      <c r="B144" s="99"/>
      <c r="C144" s="99"/>
      <c r="D144" s="99"/>
      <c r="E144" s="99"/>
      <c r="F144" s="99"/>
      <c r="G144" s="99"/>
      <c r="H144" s="99"/>
      <c r="I144" s="99"/>
      <c r="J144" s="99"/>
      <c r="K144" s="99"/>
      <c r="L144" s="99"/>
      <c r="M144" s="99"/>
      <c r="N144" s="99"/>
      <c r="O144" s="99"/>
      <c r="P144" s="99"/>
    </row>
    <row r="145" spans="1:16" ht="18" customHeight="1">
      <c r="A145" s="99"/>
      <c r="B145" s="99"/>
      <c r="C145" s="99"/>
      <c r="D145" s="99"/>
      <c r="E145" s="99"/>
      <c r="F145" s="99"/>
      <c r="G145" s="99"/>
      <c r="H145" s="99"/>
      <c r="I145" s="99"/>
      <c r="J145" s="99"/>
      <c r="K145" s="99"/>
      <c r="L145" s="99"/>
      <c r="M145" s="99"/>
      <c r="N145" s="99"/>
      <c r="O145" s="99"/>
      <c r="P145" s="99"/>
    </row>
    <row r="146" spans="1:16" ht="18" customHeight="1">
      <c r="A146" s="99"/>
      <c r="B146" s="99"/>
      <c r="C146" s="99"/>
      <c r="D146" s="99"/>
      <c r="E146" s="99"/>
      <c r="F146" s="99"/>
      <c r="G146" s="99"/>
      <c r="H146" s="99"/>
      <c r="I146" s="99"/>
      <c r="J146" s="99"/>
      <c r="K146" s="99"/>
      <c r="L146" s="99"/>
      <c r="M146" s="99"/>
      <c r="N146" s="99"/>
      <c r="O146" s="99"/>
      <c r="P146" s="99"/>
    </row>
    <row r="147" spans="1:16" ht="18" customHeight="1">
      <c r="A147" s="99"/>
      <c r="B147" s="99"/>
      <c r="C147" s="99"/>
      <c r="D147" s="99"/>
      <c r="E147" s="99"/>
      <c r="F147" s="99"/>
      <c r="G147" s="99"/>
      <c r="H147" s="99"/>
      <c r="I147" s="99"/>
      <c r="J147" s="99"/>
      <c r="K147" s="99"/>
      <c r="L147" s="99"/>
      <c r="M147" s="99"/>
      <c r="N147" s="99"/>
      <c r="O147" s="99"/>
      <c r="P147" s="99"/>
    </row>
    <row r="148" spans="1:16" ht="18" customHeight="1">
      <c r="A148" s="99"/>
      <c r="B148" s="99"/>
      <c r="C148" s="99"/>
      <c r="D148" s="99"/>
      <c r="E148" s="99"/>
      <c r="F148" s="99"/>
      <c r="G148" s="99"/>
      <c r="H148" s="99"/>
      <c r="I148" s="99"/>
      <c r="J148" s="99"/>
      <c r="K148" s="99"/>
      <c r="L148" s="99"/>
      <c r="M148" s="99"/>
      <c r="N148" s="99"/>
      <c r="O148" s="99"/>
      <c r="P148" s="99"/>
    </row>
    <row r="149" spans="1:16" ht="18" customHeight="1">
      <c r="A149" s="99"/>
      <c r="B149" s="99"/>
      <c r="C149" s="99"/>
      <c r="D149" s="99"/>
      <c r="E149" s="99"/>
      <c r="F149" s="99"/>
      <c r="G149" s="99"/>
      <c r="H149" s="99"/>
      <c r="I149" s="99"/>
      <c r="J149" s="99"/>
      <c r="K149" s="99"/>
      <c r="L149" s="99"/>
      <c r="M149" s="99"/>
      <c r="N149" s="99"/>
      <c r="O149" s="99"/>
      <c r="P149" s="99"/>
    </row>
    <row r="150" spans="1:16" ht="18" customHeight="1">
      <c r="A150" s="99"/>
      <c r="B150" s="99"/>
      <c r="C150" s="99"/>
      <c r="D150" s="99"/>
      <c r="E150" s="99"/>
      <c r="F150" s="99"/>
      <c r="G150" s="99"/>
      <c r="H150" s="99"/>
      <c r="I150" s="99"/>
      <c r="J150" s="99"/>
      <c r="K150" s="99"/>
      <c r="L150" s="99"/>
      <c r="M150" s="99"/>
      <c r="N150" s="99"/>
      <c r="O150" s="99"/>
      <c r="P150" s="99"/>
    </row>
    <row r="151" spans="1:16" ht="18" customHeight="1">
      <c r="A151" s="99"/>
      <c r="B151" s="99"/>
      <c r="C151" s="99"/>
      <c r="D151" s="99"/>
      <c r="E151" s="99"/>
      <c r="F151" s="99"/>
      <c r="G151" s="99"/>
      <c r="H151" s="99"/>
      <c r="I151" s="99"/>
      <c r="J151" s="99"/>
      <c r="K151" s="99"/>
      <c r="L151" s="99"/>
      <c r="M151" s="99"/>
      <c r="N151" s="99"/>
      <c r="O151" s="99"/>
      <c r="P151" s="99"/>
    </row>
    <row r="152" spans="1:16" ht="18" customHeight="1">
      <c r="A152" s="99"/>
      <c r="B152" s="99"/>
      <c r="C152" s="99"/>
      <c r="D152" s="99"/>
      <c r="E152" s="99"/>
      <c r="F152" s="99"/>
      <c r="G152" s="99"/>
      <c r="H152" s="99"/>
      <c r="I152" s="99"/>
      <c r="J152" s="99"/>
      <c r="K152" s="99"/>
      <c r="L152" s="99"/>
      <c r="M152" s="99"/>
      <c r="N152" s="99"/>
      <c r="O152" s="99"/>
      <c r="P152" s="99"/>
    </row>
    <row r="153" spans="1:16" ht="18" customHeight="1">
      <c r="A153" s="99"/>
      <c r="B153" s="99"/>
      <c r="C153" s="99"/>
      <c r="D153" s="99"/>
      <c r="E153" s="99"/>
      <c r="F153" s="99"/>
      <c r="G153" s="99"/>
      <c r="H153" s="99"/>
      <c r="I153" s="99"/>
      <c r="J153" s="99"/>
      <c r="K153" s="99"/>
      <c r="L153" s="99"/>
      <c r="M153" s="99"/>
      <c r="N153" s="99"/>
      <c r="O153" s="99"/>
      <c r="P153" s="99"/>
    </row>
    <row r="154" spans="1:16" ht="18" customHeight="1">
      <c r="A154" s="99"/>
      <c r="B154" s="99"/>
      <c r="C154" s="99"/>
      <c r="D154" s="99"/>
      <c r="E154" s="99"/>
      <c r="F154" s="99"/>
      <c r="G154" s="99"/>
      <c r="H154" s="99"/>
      <c r="I154" s="99"/>
      <c r="J154" s="99"/>
      <c r="K154" s="99"/>
      <c r="L154" s="99"/>
      <c r="M154" s="99"/>
      <c r="N154" s="99"/>
      <c r="O154" s="99"/>
      <c r="P154" s="99"/>
    </row>
    <row r="155" spans="1:16" ht="18" customHeight="1">
      <c r="A155" s="99"/>
      <c r="B155" s="99"/>
      <c r="C155" s="99"/>
      <c r="D155" s="99"/>
      <c r="E155" s="99"/>
      <c r="F155" s="99"/>
      <c r="G155" s="99"/>
      <c r="H155" s="99"/>
      <c r="I155" s="99"/>
      <c r="J155" s="99"/>
      <c r="K155" s="99"/>
      <c r="L155" s="99"/>
      <c r="M155" s="99"/>
      <c r="N155" s="99"/>
      <c r="O155" s="99"/>
      <c r="P155" s="99"/>
    </row>
    <row r="156" spans="1:16" ht="18" customHeight="1">
      <c r="A156" s="99"/>
      <c r="B156" s="99"/>
      <c r="C156" s="99"/>
      <c r="D156" s="99"/>
      <c r="E156" s="99"/>
      <c r="F156" s="99"/>
      <c r="G156" s="99"/>
      <c r="H156" s="99"/>
      <c r="I156" s="99"/>
      <c r="J156" s="99"/>
      <c r="K156" s="99"/>
      <c r="L156" s="99"/>
      <c r="M156" s="99"/>
      <c r="N156" s="99"/>
      <c r="O156" s="99"/>
      <c r="P156" s="99"/>
    </row>
    <row r="157" spans="1:16" ht="18" customHeight="1">
      <c r="A157" s="99"/>
      <c r="B157" s="99"/>
      <c r="C157" s="99"/>
      <c r="D157" s="99"/>
      <c r="E157" s="99"/>
      <c r="F157" s="99"/>
      <c r="G157" s="99"/>
      <c r="H157" s="99"/>
      <c r="I157" s="99"/>
      <c r="J157" s="99"/>
      <c r="K157" s="99"/>
      <c r="L157" s="99"/>
      <c r="M157" s="99"/>
      <c r="N157" s="99"/>
      <c r="O157" s="99"/>
      <c r="P157" s="99"/>
    </row>
    <row r="158" spans="1:16" ht="18" customHeight="1">
      <c r="A158" s="99"/>
      <c r="B158" s="99"/>
      <c r="C158" s="99"/>
      <c r="D158" s="99"/>
      <c r="E158" s="99"/>
      <c r="F158" s="99"/>
      <c r="G158" s="99"/>
      <c r="H158" s="99"/>
      <c r="I158" s="99"/>
      <c r="J158" s="99"/>
      <c r="K158" s="99"/>
      <c r="L158" s="99"/>
      <c r="M158" s="99"/>
      <c r="N158" s="99"/>
      <c r="O158" s="99"/>
      <c r="P158" s="99"/>
    </row>
    <row r="159" spans="1:16" ht="18" customHeight="1">
      <c r="A159" s="422" t="s">
        <v>888</v>
      </c>
      <c r="B159" s="423"/>
      <c r="C159" s="423"/>
      <c r="D159" s="423"/>
      <c r="E159" s="423"/>
      <c r="F159" s="423"/>
      <c r="G159" s="423"/>
      <c r="H159" s="423"/>
      <c r="I159" s="423"/>
      <c r="J159" s="423"/>
      <c r="K159" s="423"/>
      <c r="L159" s="423"/>
      <c r="M159" s="423"/>
      <c r="N159" s="423"/>
      <c r="O159" s="423"/>
      <c r="P159" s="423"/>
    </row>
    <row r="160" spans="1:16" ht="18" customHeight="1">
      <c r="A160" s="423"/>
      <c r="B160" s="423"/>
      <c r="C160" s="423"/>
      <c r="D160" s="423"/>
      <c r="E160" s="423"/>
      <c r="F160" s="423"/>
      <c r="G160" s="423"/>
      <c r="H160" s="423"/>
      <c r="I160" s="423"/>
      <c r="J160" s="423"/>
      <c r="K160" s="423"/>
      <c r="L160" s="423"/>
      <c r="M160" s="423"/>
      <c r="N160" s="423"/>
      <c r="O160" s="423"/>
      <c r="P160" s="423"/>
    </row>
    <row r="161" spans="1:16" ht="18" customHeight="1">
      <c r="A161" s="99"/>
      <c r="B161" s="99"/>
      <c r="C161" s="99"/>
      <c r="D161" s="99"/>
      <c r="E161" s="99"/>
      <c r="F161" s="99"/>
      <c r="G161" s="99"/>
      <c r="H161" s="99"/>
      <c r="I161" s="99"/>
      <c r="J161" s="99"/>
      <c r="K161" s="99"/>
      <c r="L161" s="99"/>
      <c r="M161" s="99"/>
      <c r="N161" s="99"/>
      <c r="O161" s="99"/>
      <c r="P161" s="99"/>
    </row>
    <row r="178" spans="1:16" ht="30" customHeight="1">
      <c r="A178" s="397" t="s">
        <v>1112</v>
      </c>
      <c r="B178" s="397"/>
      <c r="C178" s="397"/>
      <c r="D178" s="397"/>
      <c r="E178" s="397"/>
      <c r="F178" s="397"/>
      <c r="G178" s="397"/>
      <c r="H178" s="397"/>
      <c r="I178" s="397"/>
      <c r="J178" s="397"/>
      <c r="K178" s="397"/>
      <c r="L178" s="397"/>
      <c r="M178" s="397"/>
      <c r="N178" s="397"/>
      <c r="O178" s="397"/>
      <c r="P178" s="397"/>
    </row>
    <row r="179" spans="1:16" ht="31.95" customHeight="1">
      <c r="A179" s="404" t="s">
        <v>1113</v>
      </c>
      <c r="B179" s="404"/>
      <c r="C179" s="404"/>
      <c r="D179" s="404"/>
      <c r="E179" s="404"/>
      <c r="F179" s="404"/>
      <c r="G179" s="404"/>
      <c r="H179" s="404"/>
      <c r="I179" s="404"/>
      <c r="J179" s="404"/>
      <c r="K179" s="404"/>
      <c r="L179" s="404"/>
      <c r="M179" s="404"/>
      <c r="N179" s="404"/>
      <c r="O179" s="404"/>
      <c r="P179" s="404"/>
    </row>
    <row r="180" spans="1:16" ht="48" customHeight="1">
      <c r="A180" s="346" t="s">
        <v>126</v>
      </c>
      <c r="B180" s="346" t="s">
        <v>127</v>
      </c>
      <c r="C180" s="346" t="s">
        <v>128</v>
      </c>
      <c r="D180" s="346" t="s">
        <v>1114</v>
      </c>
      <c r="E180" s="346" t="s">
        <v>129</v>
      </c>
      <c r="F180" s="346" t="s">
        <v>174</v>
      </c>
      <c r="G180" s="346" t="s">
        <v>175</v>
      </c>
      <c r="H180" s="346" t="s">
        <v>176</v>
      </c>
      <c r="I180" s="346" t="s">
        <v>177</v>
      </c>
      <c r="J180" s="346" t="s">
        <v>214</v>
      </c>
      <c r="K180" s="346" t="s">
        <v>215</v>
      </c>
      <c r="L180" s="346" t="s">
        <v>130</v>
      </c>
      <c r="M180" s="346" t="s">
        <v>131</v>
      </c>
      <c r="N180" s="346" t="s">
        <v>132</v>
      </c>
      <c r="O180" s="346" t="s">
        <v>4</v>
      </c>
      <c r="P180" s="346" t="s">
        <v>106</v>
      </c>
    </row>
    <row r="181" spans="1:16" ht="36" customHeight="1">
      <c r="A181" s="348" t="s">
        <v>134</v>
      </c>
      <c r="B181" s="348" t="s">
        <v>48</v>
      </c>
      <c r="C181" s="349">
        <v>10</v>
      </c>
      <c r="D181" s="349">
        <v>0</v>
      </c>
      <c r="E181" s="350">
        <f>SlabUsageLL97(B181,'Imposed Load'!$A$16:$C$68,'Imposed Load'!$A$6:$C$12)</f>
        <v>2</v>
      </c>
      <c r="F181" s="351">
        <v>5</v>
      </c>
      <c r="G181" s="351"/>
      <c r="H181" s="351"/>
      <c r="I181" s="350" t="str">
        <f t="shared" ref="I181:I200" si="30">IF(COUNT(F181:H181)&lt;3,"",F181-G181-H181)</f>
        <v/>
      </c>
      <c r="J181" s="351">
        <v>10</v>
      </c>
      <c r="K181" s="351">
        <v>10</v>
      </c>
      <c r="L181" s="350">
        <f t="shared" ref="L181:L200" si="31">IF(OR(J181="",K181=""),"",IF(AND(ISNUMBER(J181),ISNUMBER(K181),J181&gt;0,K181&gt;0),J181*K181,""))</f>
        <v>100</v>
      </c>
      <c r="M181" s="352">
        <v>10</v>
      </c>
      <c r="N181" s="350">
        <f>IF(P181&lt;&gt;"Ready","",('Section A Column Loading'!$B$11*(C181+N(D181))+'Section A Column Loading'!$B$12*E181)*L181*M181)</f>
        <v>17200</v>
      </c>
      <c r="O181" s="347" t="str">
        <f>IF(B181="","",IFERROR(INDEX('Imposed Load'!$B$16:$B$68,MATCH(B181,'Imposed Load'!$A$16:$A$68,0)),""))</f>
        <v>LL-2.0</v>
      </c>
      <c r="P181" s="347" t="str">
        <f t="shared" ref="P181:P200" si="32">FloorLoadStatus98(A181:M181)</f>
        <v>Ready</v>
      </c>
    </row>
    <row r="182" spans="1:16" ht="36" customHeight="1">
      <c r="A182" s="348" t="s">
        <v>135</v>
      </c>
      <c r="B182" s="348" t="s">
        <v>70</v>
      </c>
      <c r="C182" s="349">
        <v>10</v>
      </c>
      <c r="D182" s="349">
        <v>0</v>
      </c>
      <c r="E182" s="350">
        <f>SlabUsageLL97(B182,'Imposed Load'!$A$16:$C$68,'Imposed Load'!$A$6:$C$12)</f>
        <v>7.5</v>
      </c>
      <c r="F182" s="351">
        <v>6</v>
      </c>
      <c r="G182" s="351"/>
      <c r="H182" s="351"/>
      <c r="I182" s="350" t="str">
        <f t="shared" si="30"/>
        <v/>
      </c>
      <c r="J182" s="351"/>
      <c r="K182" s="351"/>
      <c r="L182" s="350" t="str">
        <f t="shared" si="31"/>
        <v/>
      </c>
      <c r="M182" s="352">
        <v>1</v>
      </c>
      <c r="N182" s="350" t="str">
        <f>IF(P182&lt;&gt;"Ready","",('Section A Column Loading'!$B$11*(C182+N(D182))+'Section A Column Loading'!$B$12*E182)*L182*M182)</f>
        <v/>
      </c>
      <c r="O182" s="347" t="str">
        <f>IF(B182="","",IFERROR(INDEX('Imposed Load'!$B$16:$B$68,MATCH(B182,'Imposed Load'!$A$16:$A$68,0)),""))</f>
        <v>LL-7.5</v>
      </c>
      <c r="P182" s="347" t="str">
        <f t="shared" si="32"/>
        <v>ENTER B AND D</v>
      </c>
    </row>
    <row r="183" spans="1:16" ht="36" customHeight="1">
      <c r="A183" s="348" t="s">
        <v>136</v>
      </c>
      <c r="B183" s="348" t="s">
        <v>54</v>
      </c>
      <c r="C183" s="349">
        <v>10</v>
      </c>
      <c r="D183" s="349">
        <v>0</v>
      </c>
      <c r="E183" s="350">
        <f>SlabUsageLL97(B183,'Imposed Load'!$A$16:$C$68,'Imposed Load'!$A$6:$C$12)</f>
        <v>3</v>
      </c>
      <c r="F183" s="351">
        <v>3</v>
      </c>
      <c r="G183" s="351"/>
      <c r="H183" s="351"/>
      <c r="I183" s="350" t="str">
        <f t="shared" si="30"/>
        <v/>
      </c>
      <c r="J183" s="351"/>
      <c r="K183" s="351"/>
      <c r="L183" s="350" t="str">
        <f t="shared" si="31"/>
        <v/>
      </c>
      <c r="M183" s="352">
        <v>1</v>
      </c>
      <c r="N183" s="350" t="str">
        <f>IF(P183&lt;&gt;"Ready","",('Section A Column Loading'!$B$11*(C183+N(D183))+'Section A Column Loading'!$B$12*E183)*L183*M183)</f>
        <v/>
      </c>
      <c r="O183" s="347" t="str">
        <f>IF(B183="","",IFERROR(INDEX('Imposed Load'!$B$16:$B$68,MATCH(B183,'Imposed Load'!$A$16:$A$68,0)),""))</f>
        <v>LL-3.0</v>
      </c>
      <c r="P183" s="347" t="str">
        <f t="shared" si="32"/>
        <v>ENTER B AND D</v>
      </c>
    </row>
    <row r="184" spans="1:16" ht="36" customHeight="1">
      <c r="A184" s="348" t="s">
        <v>137</v>
      </c>
      <c r="B184" s="348" t="s">
        <v>61</v>
      </c>
      <c r="C184" s="349">
        <v>10</v>
      </c>
      <c r="D184" s="349">
        <v>0</v>
      </c>
      <c r="E184" s="350">
        <f>SlabUsageLL97(B184,'Imposed Load'!$A$16:$C$68,'Imposed Load'!$A$6:$C$12)</f>
        <v>5</v>
      </c>
      <c r="F184" s="351">
        <v>2</v>
      </c>
      <c r="G184" s="351"/>
      <c r="H184" s="351"/>
      <c r="I184" s="350" t="str">
        <f t="shared" si="30"/>
        <v/>
      </c>
      <c r="J184" s="351"/>
      <c r="K184" s="351"/>
      <c r="L184" s="350" t="str">
        <f t="shared" si="31"/>
        <v/>
      </c>
      <c r="M184" s="352">
        <v>4</v>
      </c>
      <c r="N184" s="350" t="str">
        <f>IF(P184&lt;&gt;"Ready","",('Section A Column Loading'!$B$11*(C184+N(D184))+'Section A Column Loading'!$B$12*E184)*L184*M184)</f>
        <v/>
      </c>
      <c r="O184" s="347" t="str">
        <f>IF(B184="","",IFERROR(INDEX('Imposed Load'!$B$16:$B$68,MATCH(B184,'Imposed Load'!$A$16:$A$68,0)),""))</f>
        <v>LL-5.0</v>
      </c>
      <c r="P184" s="347" t="str">
        <f t="shared" si="32"/>
        <v>ENTER B AND D</v>
      </c>
    </row>
    <row r="185" spans="1:16" ht="36" customHeight="1">
      <c r="A185" s="348" t="s">
        <v>138</v>
      </c>
      <c r="B185" s="348" t="s">
        <v>61</v>
      </c>
      <c r="C185" s="349">
        <v>10</v>
      </c>
      <c r="D185" s="349">
        <v>0</v>
      </c>
      <c r="E185" s="350">
        <f>SlabUsageLL97(B185,'Imposed Load'!$A$16:$C$68,'Imposed Load'!$A$6:$C$12)</f>
        <v>5</v>
      </c>
      <c r="F185" s="351">
        <v>4</v>
      </c>
      <c r="G185" s="351"/>
      <c r="H185" s="351"/>
      <c r="I185" s="350" t="str">
        <f t="shared" si="30"/>
        <v/>
      </c>
      <c r="J185" s="351"/>
      <c r="K185" s="351"/>
      <c r="L185" s="350" t="str">
        <f t="shared" si="31"/>
        <v/>
      </c>
      <c r="M185" s="352">
        <v>1</v>
      </c>
      <c r="N185" s="350" t="str">
        <f>IF(P185&lt;&gt;"Ready","",('Section A Column Loading'!$B$11*(C185+N(D185))+'Section A Column Loading'!$B$12*E185)*L185*M185)</f>
        <v/>
      </c>
      <c r="O185" s="347" t="str">
        <f>IF(B185="","",IFERROR(INDEX('Imposed Load'!$B$16:$B$68,MATCH(B185,'Imposed Load'!$A$16:$A$68,0)),""))</f>
        <v>LL-5.0</v>
      </c>
      <c r="P185" s="347" t="str">
        <f t="shared" si="32"/>
        <v>ENTER B AND D</v>
      </c>
    </row>
    <row r="186" spans="1:16" ht="36" customHeight="1">
      <c r="A186" s="348" t="s">
        <v>139</v>
      </c>
      <c r="B186" s="348" t="s">
        <v>57</v>
      </c>
      <c r="C186" s="349">
        <v>10</v>
      </c>
      <c r="D186" s="349">
        <v>0</v>
      </c>
      <c r="E186" s="350">
        <f>SlabUsageLL97(B186,'Imposed Load'!$A$16:$C$68,'Imposed Load'!$A$6:$C$12)</f>
        <v>3</v>
      </c>
      <c r="F186" s="351">
        <v>8</v>
      </c>
      <c r="G186" s="351"/>
      <c r="H186" s="351"/>
      <c r="I186" s="350" t="str">
        <f t="shared" si="30"/>
        <v/>
      </c>
      <c r="J186" s="351"/>
      <c r="K186" s="351"/>
      <c r="L186" s="350" t="str">
        <f t="shared" si="31"/>
        <v/>
      </c>
      <c r="M186" s="352">
        <v>2</v>
      </c>
      <c r="N186" s="350" t="str">
        <f>IF(P186&lt;&gt;"Ready","",('Section A Column Loading'!$B$11*(C186+N(D186))+'Section A Column Loading'!$B$12*E186)*L186*M186)</f>
        <v/>
      </c>
      <c r="O186" s="347" t="str">
        <f>IF(B186="","",IFERROR(INDEX('Imposed Load'!$B$16:$B$68,MATCH(B186,'Imposed Load'!$A$16:$A$68,0)),""))</f>
        <v>LL-3.0</v>
      </c>
      <c r="P186" s="347" t="str">
        <f t="shared" si="32"/>
        <v>ENTER B AND D</v>
      </c>
    </row>
    <row r="187" spans="1:16" ht="36" customHeight="1">
      <c r="A187" s="348"/>
      <c r="B187" s="348"/>
      <c r="C187" s="349">
        <v>10</v>
      </c>
      <c r="D187" s="349">
        <v>0</v>
      </c>
      <c r="E187" s="350" t="str">
        <f>SlabUsageLL97(B187,'Imposed Load'!$A$16:$C$68,'Imposed Load'!$A$6:$C$12)</f>
        <v/>
      </c>
      <c r="F187" s="351"/>
      <c r="G187" s="351"/>
      <c r="H187" s="351"/>
      <c r="I187" s="350" t="str">
        <f t="shared" si="30"/>
        <v/>
      </c>
      <c r="J187" s="351"/>
      <c r="K187" s="351"/>
      <c r="L187" s="350" t="str">
        <f t="shared" si="31"/>
        <v/>
      </c>
      <c r="M187" s="352">
        <v>1</v>
      </c>
      <c r="N187" s="350" t="str">
        <f>IF(P187&lt;&gt;"Ready","",('Section A Column Loading'!$B$11*(C187+N(D187))+'Section A Column Loading'!$B$12*E187)*L187*M187)</f>
        <v/>
      </c>
      <c r="O187" s="347" t="str">
        <f>IF(B187="","",IFERROR(INDEX('Imposed Load'!$B$16:$B$68,MATCH(B187,'Imposed Load'!$A$16:$A$68,0)),""))</f>
        <v/>
      </c>
      <c r="P187" s="347" t="str">
        <f t="shared" si="32"/>
        <v/>
      </c>
    </row>
    <row r="188" spans="1:16" ht="36" customHeight="1">
      <c r="A188" s="348"/>
      <c r="B188" s="348"/>
      <c r="C188" s="349">
        <v>10</v>
      </c>
      <c r="D188" s="349">
        <v>0</v>
      </c>
      <c r="E188" s="350" t="str">
        <f>SlabUsageLL97(B188,'Imposed Load'!$A$16:$C$68,'Imposed Load'!$A$6:$C$12)</f>
        <v/>
      </c>
      <c r="F188" s="351"/>
      <c r="G188" s="351"/>
      <c r="H188" s="351"/>
      <c r="I188" s="350" t="str">
        <f t="shared" si="30"/>
        <v/>
      </c>
      <c r="J188" s="351"/>
      <c r="K188" s="351"/>
      <c r="L188" s="350" t="str">
        <f t="shared" si="31"/>
        <v/>
      </c>
      <c r="M188" s="352">
        <v>1</v>
      </c>
      <c r="N188" s="350" t="str">
        <f>IF(P188&lt;&gt;"Ready","",('Section A Column Loading'!$B$11*(C188+N(D188))+'Section A Column Loading'!$B$12*E188)*L188*M188)</f>
        <v/>
      </c>
      <c r="O188" s="347" t="str">
        <f>IF(B188="","",IFERROR(INDEX('Imposed Load'!$B$16:$B$68,MATCH(B188,'Imposed Load'!$A$16:$A$68,0)),""))</f>
        <v/>
      </c>
      <c r="P188" s="347" t="str">
        <f t="shared" si="32"/>
        <v/>
      </c>
    </row>
    <row r="189" spans="1:16" ht="36" customHeight="1">
      <c r="A189" s="348"/>
      <c r="B189" s="348"/>
      <c r="C189" s="349">
        <v>10</v>
      </c>
      <c r="D189" s="349">
        <v>0</v>
      </c>
      <c r="E189" s="350" t="str">
        <f>SlabUsageLL97(B189,'Imposed Load'!$A$16:$C$68,'Imposed Load'!$A$6:$C$12)</f>
        <v/>
      </c>
      <c r="F189" s="351"/>
      <c r="G189" s="351"/>
      <c r="H189" s="351"/>
      <c r="I189" s="350" t="str">
        <f t="shared" si="30"/>
        <v/>
      </c>
      <c r="J189" s="351"/>
      <c r="K189" s="351"/>
      <c r="L189" s="350" t="str">
        <f t="shared" si="31"/>
        <v/>
      </c>
      <c r="M189" s="352">
        <v>1</v>
      </c>
      <c r="N189" s="350" t="str">
        <f>IF(P189&lt;&gt;"Ready","",('Section A Column Loading'!$B$11*(C189+N(D189))+'Section A Column Loading'!$B$12*E189)*L189*M189)</f>
        <v/>
      </c>
      <c r="O189" s="347" t="str">
        <f>IF(B189="","",IFERROR(INDEX('Imposed Load'!$B$16:$B$68,MATCH(B189,'Imposed Load'!$A$16:$A$68,0)),""))</f>
        <v/>
      </c>
      <c r="P189" s="347" t="str">
        <f t="shared" si="32"/>
        <v/>
      </c>
    </row>
    <row r="190" spans="1:16" ht="36" customHeight="1">
      <c r="A190" s="348"/>
      <c r="B190" s="348"/>
      <c r="C190" s="349">
        <v>10</v>
      </c>
      <c r="D190" s="349">
        <v>0</v>
      </c>
      <c r="E190" s="350" t="str">
        <f>SlabUsageLL97(B190,'Imposed Load'!$A$16:$C$68,'Imposed Load'!$A$6:$C$12)</f>
        <v/>
      </c>
      <c r="F190" s="351"/>
      <c r="G190" s="351"/>
      <c r="H190" s="351"/>
      <c r="I190" s="350" t="str">
        <f t="shared" si="30"/>
        <v/>
      </c>
      <c r="J190" s="351"/>
      <c r="K190" s="351"/>
      <c r="L190" s="350" t="str">
        <f t="shared" si="31"/>
        <v/>
      </c>
      <c r="M190" s="352">
        <v>1</v>
      </c>
      <c r="N190" s="350" t="str">
        <f>IF(P190&lt;&gt;"Ready","",('Section A Column Loading'!$B$11*(C190+N(D190))+'Section A Column Loading'!$B$12*E190)*L190*M190)</f>
        <v/>
      </c>
      <c r="O190" s="347" t="str">
        <f>IF(B190="","",IFERROR(INDEX('Imposed Load'!$B$16:$B$68,MATCH(B190,'Imposed Load'!$A$16:$A$68,0)),""))</f>
        <v/>
      </c>
      <c r="P190" s="347" t="str">
        <f t="shared" si="32"/>
        <v/>
      </c>
    </row>
    <row r="191" spans="1:16" ht="36" customHeight="1">
      <c r="A191" s="348"/>
      <c r="B191" s="348"/>
      <c r="C191" s="349">
        <v>10</v>
      </c>
      <c r="D191" s="349">
        <v>0</v>
      </c>
      <c r="E191" s="350" t="str">
        <f>SlabUsageLL97(B191,'Imposed Load'!$A$16:$C$68,'Imposed Load'!$A$6:$C$12)</f>
        <v/>
      </c>
      <c r="F191" s="351"/>
      <c r="G191" s="351"/>
      <c r="H191" s="351"/>
      <c r="I191" s="350" t="str">
        <f t="shared" si="30"/>
        <v/>
      </c>
      <c r="J191" s="351"/>
      <c r="K191" s="351"/>
      <c r="L191" s="350" t="str">
        <f t="shared" si="31"/>
        <v/>
      </c>
      <c r="M191" s="352">
        <v>1</v>
      </c>
      <c r="N191" s="350" t="str">
        <f>IF(P191&lt;&gt;"Ready","",('Section A Column Loading'!$B$11*(C191+N(D191))+'Section A Column Loading'!$B$12*E191)*L191*M191)</f>
        <v/>
      </c>
      <c r="O191" s="347" t="str">
        <f>IF(B191="","",IFERROR(INDEX('Imposed Load'!$B$16:$B$68,MATCH(B191,'Imposed Load'!$A$16:$A$68,0)),""))</f>
        <v/>
      </c>
      <c r="P191" s="347" t="str">
        <f t="shared" si="32"/>
        <v/>
      </c>
    </row>
    <row r="192" spans="1:16" ht="36" customHeight="1">
      <c r="A192" s="348"/>
      <c r="B192" s="348"/>
      <c r="C192" s="349">
        <v>10</v>
      </c>
      <c r="D192" s="349">
        <v>0</v>
      </c>
      <c r="E192" s="350" t="str">
        <f>SlabUsageLL97(B192,'Imposed Load'!$A$16:$C$68,'Imposed Load'!$A$6:$C$12)</f>
        <v/>
      </c>
      <c r="F192" s="351"/>
      <c r="G192" s="351"/>
      <c r="H192" s="351"/>
      <c r="I192" s="350" t="str">
        <f t="shared" si="30"/>
        <v/>
      </c>
      <c r="J192" s="351"/>
      <c r="K192" s="351"/>
      <c r="L192" s="350" t="str">
        <f t="shared" si="31"/>
        <v/>
      </c>
      <c r="M192" s="352">
        <v>1</v>
      </c>
      <c r="N192" s="350" t="str">
        <f>IF(P192&lt;&gt;"Ready","",('Section A Column Loading'!$B$11*(C192+N(D192))+'Section A Column Loading'!$B$12*E192)*L192*M192)</f>
        <v/>
      </c>
      <c r="O192" s="347" t="str">
        <f>IF(B192="","",IFERROR(INDEX('Imposed Load'!$B$16:$B$68,MATCH(B192,'Imposed Load'!$A$16:$A$68,0)),""))</f>
        <v/>
      </c>
      <c r="P192" s="347" t="str">
        <f t="shared" si="32"/>
        <v/>
      </c>
    </row>
    <row r="193" spans="1:16" ht="36" customHeight="1">
      <c r="A193" s="348"/>
      <c r="B193" s="348"/>
      <c r="C193" s="349">
        <v>10</v>
      </c>
      <c r="D193" s="349">
        <v>0</v>
      </c>
      <c r="E193" s="350" t="str">
        <f>SlabUsageLL97(B193,'Imposed Load'!$A$16:$C$68,'Imposed Load'!$A$6:$C$12)</f>
        <v/>
      </c>
      <c r="F193" s="351"/>
      <c r="G193" s="351"/>
      <c r="H193" s="351"/>
      <c r="I193" s="350" t="str">
        <f t="shared" si="30"/>
        <v/>
      </c>
      <c r="J193" s="351"/>
      <c r="K193" s="351"/>
      <c r="L193" s="350" t="str">
        <f t="shared" si="31"/>
        <v/>
      </c>
      <c r="M193" s="352">
        <v>1</v>
      </c>
      <c r="N193" s="350" t="str">
        <f>IF(P193&lt;&gt;"Ready","",('Section A Column Loading'!$B$11*(C193+N(D193))+'Section A Column Loading'!$B$12*E193)*L193*M193)</f>
        <v/>
      </c>
      <c r="O193" s="347" t="str">
        <f>IF(B193="","",IFERROR(INDEX('Imposed Load'!$B$16:$B$68,MATCH(B193,'Imposed Load'!$A$16:$A$68,0)),""))</f>
        <v/>
      </c>
      <c r="P193" s="347" t="str">
        <f t="shared" si="32"/>
        <v/>
      </c>
    </row>
    <row r="194" spans="1:16" ht="36" customHeight="1">
      <c r="A194" s="348"/>
      <c r="B194" s="348"/>
      <c r="C194" s="349">
        <v>10</v>
      </c>
      <c r="D194" s="349">
        <v>0</v>
      </c>
      <c r="E194" s="350" t="str">
        <f>SlabUsageLL97(B194,'Imposed Load'!$A$16:$C$68,'Imposed Load'!$A$6:$C$12)</f>
        <v/>
      </c>
      <c r="F194" s="351"/>
      <c r="G194" s="351"/>
      <c r="H194" s="351"/>
      <c r="I194" s="350" t="str">
        <f t="shared" si="30"/>
        <v/>
      </c>
      <c r="J194" s="351"/>
      <c r="K194" s="351"/>
      <c r="L194" s="350" t="str">
        <f t="shared" si="31"/>
        <v/>
      </c>
      <c r="M194" s="352">
        <v>1</v>
      </c>
      <c r="N194" s="350" t="str">
        <f>IF(P194&lt;&gt;"Ready","",('Section A Column Loading'!$B$11*(C194+N(D194))+'Section A Column Loading'!$B$12*E194)*L194*M194)</f>
        <v/>
      </c>
      <c r="O194" s="347" t="str">
        <f>IF(B194="","",IFERROR(INDEX('Imposed Load'!$B$16:$B$68,MATCH(B194,'Imposed Load'!$A$16:$A$68,0)),""))</f>
        <v/>
      </c>
      <c r="P194" s="347" t="str">
        <f t="shared" si="32"/>
        <v/>
      </c>
    </row>
    <row r="195" spans="1:16" ht="36" customHeight="1">
      <c r="A195" s="348"/>
      <c r="B195" s="348"/>
      <c r="C195" s="349">
        <v>10</v>
      </c>
      <c r="D195" s="349">
        <v>0</v>
      </c>
      <c r="E195" s="350" t="str">
        <f>SlabUsageLL97(B195,'Imposed Load'!$A$16:$C$68,'Imposed Load'!$A$6:$C$12)</f>
        <v/>
      </c>
      <c r="F195" s="351"/>
      <c r="G195" s="351"/>
      <c r="H195" s="351"/>
      <c r="I195" s="350" t="str">
        <f t="shared" si="30"/>
        <v/>
      </c>
      <c r="J195" s="351"/>
      <c r="K195" s="351"/>
      <c r="L195" s="350" t="str">
        <f t="shared" si="31"/>
        <v/>
      </c>
      <c r="M195" s="352">
        <v>1</v>
      </c>
      <c r="N195" s="350" t="str">
        <f>IF(P195&lt;&gt;"Ready","",('Section A Column Loading'!$B$11*(C195+N(D195))+'Section A Column Loading'!$B$12*E195)*L195*M195)</f>
        <v/>
      </c>
      <c r="O195" s="347" t="str">
        <f>IF(B195="","",IFERROR(INDEX('Imposed Load'!$B$16:$B$68,MATCH(B195,'Imposed Load'!$A$16:$A$68,0)),""))</f>
        <v/>
      </c>
      <c r="P195" s="347" t="str">
        <f t="shared" si="32"/>
        <v/>
      </c>
    </row>
    <row r="196" spans="1:16" ht="36" customHeight="1">
      <c r="A196" s="348"/>
      <c r="B196" s="348"/>
      <c r="C196" s="349">
        <v>10</v>
      </c>
      <c r="D196" s="349">
        <v>0</v>
      </c>
      <c r="E196" s="350" t="str">
        <f>SlabUsageLL97(B196,'Imposed Load'!$A$16:$C$68,'Imposed Load'!$A$6:$C$12)</f>
        <v/>
      </c>
      <c r="F196" s="351"/>
      <c r="G196" s="351"/>
      <c r="H196" s="351"/>
      <c r="I196" s="350" t="str">
        <f t="shared" si="30"/>
        <v/>
      </c>
      <c r="J196" s="351"/>
      <c r="K196" s="351"/>
      <c r="L196" s="350" t="str">
        <f t="shared" si="31"/>
        <v/>
      </c>
      <c r="M196" s="352">
        <v>1</v>
      </c>
      <c r="N196" s="350" t="str">
        <f>IF(P196&lt;&gt;"Ready","",('Section A Column Loading'!$B$11*(C196+N(D196))+'Section A Column Loading'!$B$12*E196)*L196*M196)</f>
        <v/>
      </c>
      <c r="O196" s="347" t="str">
        <f>IF(B196="","",IFERROR(INDEX('Imposed Load'!$B$16:$B$68,MATCH(B196,'Imposed Load'!$A$16:$A$68,0)),""))</f>
        <v/>
      </c>
      <c r="P196" s="347" t="str">
        <f t="shared" si="32"/>
        <v/>
      </c>
    </row>
    <row r="197" spans="1:16" ht="36" customHeight="1">
      <c r="A197" s="348"/>
      <c r="B197" s="348"/>
      <c r="C197" s="349">
        <v>10</v>
      </c>
      <c r="D197" s="349">
        <v>0</v>
      </c>
      <c r="E197" s="350" t="str">
        <f>SlabUsageLL97(B197,'Imposed Load'!$A$16:$C$68,'Imposed Load'!$A$6:$C$12)</f>
        <v/>
      </c>
      <c r="F197" s="351"/>
      <c r="G197" s="351"/>
      <c r="H197" s="351"/>
      <c r="I197" s="350" t="str">
        <f t="shared" si="30"/>
        <v/>
      </c>
      <c r="J197" s="351"/>
      <c r="K197" s="351"/>
      <c r="L197" s="350" t="str">
        <f t="shared" si="31"/>
        <v/>
      </c>
      <c r="M197" s="352">
        <v>1</v>
      </c>
      <c r="N197" s="350" t="str">
        <f>IF(P197&lt;&gt;"Ready","",('Section A Column Loading'!$B$11*(C197+N(D197))+'Section A Column Loading'!$B$12*E197)*L197*M197)</f>
        <v/>
      </c>
      <c r="O197" s="347" t="str">
        <f>IF(B197="","",IFERROR(INDEX('Imposed Load'!$B$16:$B$68,MATCH(B197,'Imposed Load'!$A$16:$A$68,0)),""))</f>
        <v/>
      </c>
      <c r="P197" s="347" t="str">
        <f t="shared" si="32"/>
        <v/>
      </c>
    </row>
    <row r="198" spans="1:16" ht="36" customHeight="1">
      <c r="A198" s="348"/>
      <c r="B198" s="348"/>
      <c r="C198" s="349">
        <v>10</v>
      </c>
      <c r="D198" s="349">
        <v>0</v>
      </c>
      <c r="E198" s="350" t="str">
        <f>SlabUsageLL97(B198,'Imposed Load'!$A$16:$C$68,'Imposed Load'!$A$6:$C$12)</f>
        <v/>
      </c>
      <c r="F198" s="351"/>
      <c r="G198" s="351"/>
      <c r="H198" s="351"/>
      <c r="I198" s="350" t="str">
        <f t="shared" si="30"/>
        <v/>
      </c>
      <c r="J198" s="351"/>
      <c r="K198" s="351"/>
      <c r="L198" s="350" t="str">
        <f t="shared" si="31"/>
        <v/>
      </c>
      <c r="M198" s="352">
        <v>1</v>
      </c>
      <c r="N198" s="350" t="str">
        <f>IF(P198&lt;&gt;"Ready","",('Section A Column Loading'!$B$11*(C198+N(D198))+'Section A Column Loading'!$B$12*E198)*L198*M198)</f>
        <v/>
      </c>
      <c r="O198" s="347" t="str">
        <f>IF(B198="","",IFERROR(INDEX('Imposed Load'!$B$16:$B$68,MATCH(B198,'Imposed Load'!$A$16:$A$68,0)),""))</f>
        <v/>
      </c>
      <c r="P198" s="347" t="str">
        <f t="shared" si="32"/>
        <v/>
      </c>
    </row>
    <row r="199" spans="1:16" ht="36" customHeight="1">
      <c r="A199" s="348"/>
      <c r="B199" s="348"/>
      <c r="C199" s="349">
        <v>10</v>
      </c>
      <c r="D199" s="349">
        <v>0</v>
      </c>
      <c r="E199" s="350" t="str">
        <f>SlabUsageLL97(B199,'Imposed Load'!$A$16:$C$68,'Imposed Load'!$A$6:$C$12)</f>
        <v/>
      </c>
      <c r="F199" s="351"/>
      <c r="G199" s="351"/>
      <c r="H199" s="351"/>
      <c r="I199" s="350" t="str">
        <f t="shared" si="30"/>
        <v/>
      </c>
      <c r="J199" s="351"/>
      <c r="K199" s="351"/>
      <c r="L199" s="350" t="str">
        <f t="shared" si="31"/>
        <v/>
      </c>
      <c r="M199" s="352">
        <v>1</v>
      </c>
      <c r="N199" s="350" t="str">
        <f>IF(P199&lt;&gt;"Ready","",('Section A Column Loading'!$B$11*(C199+N(D199))+'Section A Column Loading'!$B$12*E199)*L199*M199)</f>
        <v/>
      </c>
      <c r="O199" s="347" t="str">
        <f>IF(B199="","",IFERROR(INDEX('Imposed Load'!$B$16:$B$68,MATCH(B199,'Imposed Load'!$A$16:$A$68,0)),""))</f>
        <v/>
      </c>
      <c r="P199" s="347" t="str">
        <f t="shared" si="32"/>
        <v/>
      </c>
    </row>
    <row r="200" spans="1:16" ht="36" customHeight="1">
      <c r="A200" s="348"/>
      <c r="B200" s="348"/>
      <c r="C200" s="349">
        <v>10</v>
      </c>
      <c r="D200" s="349">
        <v>0</v>
      </c>
      <c r="E200" s="350" t="str">
        <f>SlabUsageLL97(B200,'Imposed Load'!$A$16:$C$68,'Imposed Load'!$A$6:$C$12)</f>
        <v/>
      </c>
      <c r="F200" s="351"/>
      <c r="G200" s="351"/>
      <c r="H200" s="351"/>
      <c r="I200" s="350" t="str">
        <f t="shared" si="30"/>
        <v/>
      </c>
      <c r="J200" s="351"/>
      <c r="K200" s="351"/>
      <c r="L200" s="350" t="str">
        <f t="shared" si="31"/>
        <v/>
      </c>
      <c r="M200" s="352">
        <v>1</v>
      </c>
      <c r="N200" s="350" t="str">
        <f>IF(P200&lt;&gt;"Ready","",('Section A Column Loading'!$B$11*(C200+N(D200))+'Section A Column Loading'!$B$12*E200)*L200*M200)</f>
        <v/>
      </c>
      <c r="O200" s="347" t="str">
        <f>IF(B200="","",IFERROR(INDEX('Imposed Load'!$B$16:$B$68,MATCH(B200,'Imposed Load'!$A$16:$A$68,0)),""))</f>
        <v/>
      </c>
      <c r="P200" s="347" t="str">
        <f t="shared" si="32"/>
        <v/>
      </c>
    </row>
  </sheetData>
  <mergeCells count="26">
    <mergeCell ref="A140:P140"/>
    <mergeCell ref="A56:E57"/>
    <mergeCell ref="A58:E59"/>
    <mergeCell ref="A86:K87"/>
    <mergeCell ref="A88:K89"/>
    <mergeCell ref="G56:K57"/>
    <mergeCell ref="M56:S57"/>
    <mergeCell ref="G58:K59"/>
    <mergeCell ref="M58:S59"/>
    <mergeCell ref="M84:S85"/>
    <mergeCell ref="A178:P178"/>
    <mergeCell ref="A179:P179"/>
    <mergeCell ref="B21:F21"/>
    <mergeCell ref="A6:I7"/>
    <mergeCell ref="A1:I1"/>
    <mergeCell ref="A3:B3"/>
    <mergeCell ref="D3:E3"/>
    <mergeCell ref="G3:H3"/>
    <mergeCell ref="A4:B4"/>
    <mergeCell ref="D4:E4"/>
    <mergeCell ref="G4:I4"/>
    <mergeCell ref="A8:I9"/>
    <mergeCell ref="A28:G29"/>
    <mergeCell ref="A26:G27"/>
    <mergeCell ref="A159:P160"/>
    <mergeCell ref="A138:P139"/>
  </mergeCells>
  <phoneticPr fontId="10" type="noConversion"/>
  <dataValidations count="12">
    <dataValidation type="list" allowBlank="1" showInputMessage="1" showErrorMessage="1" sqref="C4" xr:uid="{717A005F-AEAB-4B1C-AD70-41F4C23B7512}">
      <formula1>"45,60"</formula1>
    </dataValidation>
    <dataValidation type="list" allowBlank="1" showInputMessage="1" showErrorMessage="1" sqref="F3 G61:G80" xr:uid="{DB2E39D0-43E6-4A42-80B0-A25472DA3601}">
      <formula1>MBIDs66</formula1>
    </dataValidation>
    <dataValidation type="list" allowBlank="1" showInputMessage="1" showErrorMessage="1" sqref="I3 H61:H80" xr:uid="{B2B5DD66-A74C-4450-86DA-084B489394B0}">
      <formula1>SBIDs66</formula1>
    </dataValidation>
    <dataValidation type="list" allowBlank="1" showInputMessage="1" showErrorMessage="1" sqref="I61:I80" xr:uid="{F6362849-659F-49B6-9A5D-37273B669A08}">
      <formula1>"Upper,Lower"</formula1>
    </dataValidation>
    <dataValidation type="list" allowBlank="1" showInputMessage="1" showErrorMessage="1" sqref="E31:F50" xr:uid="{E62302E9-9E08-40BD-B2E9-F28C0D0AECB0}">
      <formula1>SlabIDs66</formula1>
    </dataValidation>
    <dataValidation type="list" allowBlank="1" showInputMessage="1" showErrorMessage="1" sqref="F4" xr:uid="{ED9D1F39-28FC-4014-BAD8-D8ADB19D3C7A}">
      <formula1>"1,2,4"</formula1>
    </dataValidation>
    <dataValidation type="decimal" operator="greaterThan" allowBlank="1" showInputMessage="1" showErrorMessage="1" errorTitle="Numeric input" error="Enter a number in the unit shown in the column heading." sqref="B11:C20 B61:D80 B31:D50" xr:uid="{270F6A5F-458A-4CF9-A94C-6662C1C1864E}">
      <formula1>0</formula1>
    </dataValidation>
    <dataValidation type="decimal" operator="greaterThanOrEqual" allowBlank="1" showInputMessage="1" showErrorMessage="1" errorTitle="Numeric input" error="Enter a number in the unit shown in the column heading." sqref="D11:F20 J61:J80" xr:uid="{B538C6D5-2375-4EA9-A042-3FC8A1709A44}">
      <formula1>0</formula1>
    </dataValidation>
    <dataValidation type="list" allowBlank="1" showInputMessage="1" showErrorMessage="1" sqref="C3" xr:uid="{396B9384-59C4-4127-BBFC-D814DEEAB254}">
      <formula1>SlabDesignIDs76</formula1>
    </dataValidation>
    <dataValidation type="list" allowBlank="1" showInputMessage="1" showErrorMessage="1" errorTitle="Select Usage" error="Select a use from the Imposed Load list." sqref="H11:H20" xr:uid="{CF51C3BC-E6DC-4114-A2C2-E1F2AB659B84}">
      <formula1>UsageOptions</formula1>
    </dataValidation>
    <dataValidation type="list" allowBlank="1" showInputMessage="1" showErrorMessage="1" sqref="B181:B200" xr:uid="{F22ADAE5-4A01-400F-9725-602755AFAE47}">
      <formula1>UsageOptions</formula1>
    </dataValidation>
    <dataValidation type="list" allowBlank="1" showInputMessage="1" showErrorMessage="1" sqref="G11:G20 G31:G50 E61:E80" xr:uid="{9101693A-87B2-4777-8201-9F7B269C38CC}">
      <formula1>"Simply-supported,Continuous,End span,Cantilever"</formula1>
    </dataValidation>
  </dataValidations>
  <hyperlinks>
    <hyperlink ref="A5" location="'Input'!A178" tooltip="Open the combined floor / column input table" display="Floor / column inputs" xr:uid="{03BAC12A-43D8-4B00-ABE2-CB12D3863A36}"/>
  </hyperlinks>
  <pageMargins left="0.25" right="0.25" top="0.75" bottom="0.75" header="0.3" footer="0.3"/>
  <pageSetup paperSize="8" scale="51"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696AF"/>
  </sheetPr>
  <dimension ref="A1:V113"/>
  <sheetViews>
    <sheetView showGridLines="0" topLeftCell="I1" workbookViewId="0">
      <selection activeCell="M5" sqref="M5"/>
    </sheetView>
  </sheetViews>
  <sheetFormatPr defaultRowHeight="13.8"/>
  <cols>
    <col min="1" max="1" width="18" customWidth="1"/>
    <col min="2" max="2" width="20" customWidth="1"/>
    <col min="3" max="3" width="14" customWidth="1"/>
    <col min="4" max="4" width="13.69921875" customWidth="1"/>
    <col min="5" max="5" width="22.69921875" customWidth="1"/>
    <col min="6" max="6" width="15.69921875" customWidth="1"/>
    <col min="7" max="7" width="12.69921875" customWidth="1"/>
    <col min="8" max="8" width="18.69921875" customWidth="1"/>
    <col min="11" max="11" width="24.69921875" customWidth="1"/>
    <col min="12" max="12" width="12.69921875" customWidth="1"/>
    <col min="13" max="13" width="15.59765625" hidden="1" customWidth="1"/>
    <col min="14" max="14" width="23.69921875" hidden="1" customWidth="1"/>
    <col min="15" max="16" width="13.69921875" hidden="1" customWidth="1"/>
    <col min="17" max="17" width="22.69921875" hidden="1" customWidth="1"/>
    <col min="18" max="22" width="0" hidden="1" customWidth="1"/>
  </cols>
  <sheetData>
    <row r="1" spans="1:22" ht="30" customHeight="1">
      <c r="A1" s="438" t="s">
        <v>99</v>
      </c>
      <c r="B1" s="438"/>
      <c r="C1" s="438"/>
      <c r="D1" s="438"/>
      <c r="E1" s="438"/>
      <c r="F1" s="438"/>
      <c r="G1" s="438"/>
      <c r="H1" s="438"/>
    </row>
    <row r="2" spans="1:22" ht="31.95" customHeight="1">
      <c r="A2" s="435" t="s">
        <v>1108</v>
      </c>
      <c r="B2" s="435"/>
      <c r="C2" s="435"/>
      <c r="D2" s="435"/>
      <c r="E2" s="435"/>
      <c r="F2" s="435"/>
      <c r="G2" s="435"/>
      <c r="H2" s="435"/>
    </row>
    <row r="4" spans="1:22" ht="24" customHeight="1">
      <c r="A4" s="436" t="s">
        <v>100</v>
      </c>
      <c r="B4" s="436"/>
      <c r="C4" s="436"/>
      <c r="D4" s="436"/>
      <c r="E4" s="436"/>
      <c r="F4" s="436"/>
      <c r="G4" s="436"/>
      <c r="H4" s="436"/>
      <c r="N4" s="436" t="s">
        <v>1078</v>
      </c>
      <c r="O4" s="436"/>
      <c r="P4" s="436"/>
      <c r="Q4" s="436"/>
    </row>
    <row r="5" spans="1:22" ht="43.95" customHeight="1">
      <c r="A5" s="17" t="s">
        <v>101</v>
      </c>
      <c r="B5" s="17" t="s">
        <v>102</v>
      </c>
      <c r="C5" s="17" t="s">
        <v>103</v>
      </c>
      <c r="D5" s="17" t="s">
        <v>1017</v>
      </c>
      <c r="E5" s="17" t="s">
        <v>201</v>
      </c>
      <c r="F5" s="17" t="s">
        <v>104</v>
      </c>
      <c r="G5" s="17" t="s">
        <v>105</v>
      </c>
      <c r="H5" s="17" t="s">
        <v>106</v>
      </c>
      <c r="K5" s="19" t="s">
        <v>200</v>
      </c>
      <c r="L5" s="19" t="s">
        <v>105</v>
      </c>
      <c r="M5" s="17" t="s">
        <v>101</v>
      </c>
      <c r="N5" s="17" t="s">
        <v>1079</v>
      </c>
      <c r="O5" s="17" t="s">
        <v>103</v>
      </c>
      <c r="P5" s="17" t="s">
        <v>1080</v>
      </c>
      <c r="Q5" s="17" t="s">
        <v>200</v>
      </c>
      <c r="R5" t="s">
        <v>1081</v>
      </c>
      <c r="S5" t="s">
        <v>1082</v>
      </c>
      <c r="V5" t="s">
        <v>1083</v>
      </c>
    </row>
    <row r="6" spans="1:22" ht="24" customHeight="1">
      <c r="A6" s="342"/>
      <c r="B6" s="342"/>
      <c r="C6" s="344"/>
      <c r="D6" s="345"/>
      <c r="E6" s="342"/>
      <c r="F6" s="340"/>
      <c r="G6" s="343"/>
      <c r="H6" s="236"/>
      <c r="K6" s="202" t="s">
        <v>203</v>
      </c>
      <c r="L6" s="202">
        <v>7</v>
      </c>
      <c r="M6" s="341" t="s">
        <v>112</v>
      </c>
      <c r="N6" s="20" t="s">
        <v>113</v>
      </c>
      <c r="O6" s="16"/>
      <c r="P6" s="180"/>
      <c r="Q6" s="21" t="s">
        <v>203</v>
      </c>
      <c r="V6" t="str">
        <f>IF('_Input Engine'!$A$11="","",'_Input Engine'!$A$11)</f>
        <v>S1</v>
      </c>
    </row>
    <row r="7" spans="1:22" ht="24" customHeight="1">
      <c r="A7" s="342"/>
      <c r="B7" s="342"/>
      <c r="C7" s="344"/>
      <c r="D7" s="345"/>
      <c r="E7" s="342"/>
      <c r="F7" s="340"/>
      <c r="G7" s="343"/>
      <c r="H7" s="236"/>
      <c r="K7" s="202" t="s">
        <v>204</v>
      </c>
      <c r="L7" s="202">
        <v>20</v>
      </c>
      <c r="M7" s="341" t="s">
        <v>114</v>
      </c>
      <c r="N7" s="20" t="s">
        <v>115</v>
      </c>
      <c r="O7" s="16"/>
      <c r="P7" s="180"/>
      <c r="Q7" s="21" t="s">
        <v>203</v>
      </c>
      <c r="V7" t="str">
        <f>IF('_Input Engine'!$A$12="","",'_Input Engine'!$A$12)</f>
        <v>S2</v>
      </c>
    </row>
    <row r="8" spans="1:22" ht="24" customHeight="1">
      <c r="A8" s="342"/>
      <c r="B8" s="342"/>
      <c r="C8" s="344"/>
      <c r="D8" s="345"/>
      <c r="E8" s="342"/>
      <c r="F8" s="340"/>
      <c r="G8" s="343"/>
      <c r="H8" s="236"/>
      <c r="K8" s="202" t="s">
        <v>205</v>
      </c>
      <c r="L8" s="202">
        <v>26</v>
      </c>
      <c r="M8" s="341"/>
      <c r="N8" s="20"/>
      <c r="O8" s="16"/>
      <c r="P8" s="180"/>
      <c r="Q8" s="21"/>
      <c r="V8" t="str">
        <f>IF('_Input Engine'!$A$13="","",'_Input Engine'!$A$13)</f>
        <v>S3</v>
      </c>
    </row>
    <row r="9" spans="1:22" ht="24" customHeight="1">
      <c r="A9" s="342"/>
      <c r="B9" s="342"/>
      <c r="C9" s="344"/>
      <c r="D9" s="345"/>
      <c r="E9" s="342"/>
      <c r="F9" s="340"/>
      <c r="G9" s="343"/>
      <c r="H9" s="236"/>
      <c r="K9" s="202" t="s">
        <v>202</v>
      </c>
      <c r="L9" s="202">
        <v>23</v>
      </c>
      <c r="M9" s="341"/>
      <c r="N9" s="20"/>
      <c r="O9" s="16"/>
      <c r="P9" s="180"/>
      <c r="Q9" s="21"/>
      <c r="V9" t="str">
        <f>IF('_Input Engine'!$A$14="","",'_Input Engine'!$A$14)</f>
        <v>S4</v>
      </c>
    </row>
    <row r="10" spans="1:22" ht="24" customHeight="1">
      <c r="A10" s="342"/>
      <c r="B10" s="342"/>
      <c r="C10" s="344"/>
      <c r="D10" s="345"/>
      <c r="E10" s="342"/>
      <c r="F10" s="340"/>
      <c r="G10" s="343"/>
      <c r="H10" s="236"/>
      <c r="M10" s="341"/>
      <c r="N10" s="20"/>
      <c r="O10" s="16"/>
      <c r="P10" s="180"/>
      <c r="Q10" s="21"/>
      <c r="V10" t="str">
        <f>IF('_Input Engine'!$A$15="","",'_Input Engine'!$A$15)</f>
        <v>S5</v>
      </c>
    </row>
    <row r="11" spans="1:22" ht="24" customHeight="1">
      <c r="A11" s="342"/>
      <c r="B11" s="342"/>
      <c r="C11" s="344"/>
      <c r="D11" s="345"/>
      <c r="E11" s="342"/>
      <c r="F11" s="340"/>
      <c r="G11" s="343"/>
      <c r="H11" s="236"/>
      <c r="K11" s="404" t="s">
        <v>206</v>
      </c>
      <c r="L11" s="404"/>
      <c r="M11" s="341"/>
      <c r="N11" s="20"/>
      <c r="O11" s="16"/>
      <c r="P11" s="180"/>
      <c r="Q11" s="21"/>
      <c r="V11" t="str">
        <f>IF('_Input Engine'!$A$16="","",'_Input Engine'!$A$16)</f>
        <v>S6</v>
      </c>
    </row>
    <row r="12" spans="1:22" ht="24" customHeight="1">
      <c r="A12" s="342"/>
      <c r="B12" s="342"/>
      <c r="C12" s="344"/>
      <c r="D12" s="345"/>
      <c r="E12" s="342"/>
      <c r="F12" s="340"/>
      <c r="G12" s="343"/>
      <c r="H12" s="236"/>
      <c r="K12" s="404"/>
      <c r="L12" s="404"/>
      <c r="M12" s="341"/>
      <c r="N12" s="20"/>
      <c r="O12" s="16"/>
      <c r="P12" s="180"/>
      <c r="Q12" s="21"/>
      <c r="V12" t="str">
        <f>IF('_Input Engine'!$A$17="","",'_Input Engine'!$A$17)</f>
        <v>S7</v>
      </c>
    </row>
    <row r="13" spans="1:22" ht="24" customHeight="1">
      <c r="A13" s="342"/>
      <c r="B13" s="342"/>
      <c r="C13" s="344"/>
      <c r="D13" s="345"/>
      <c r="E13" s="342"/>
      <c r="F13" s="340"/>
      <c r="G13" s="343"/>
      <c r="H13" s="236"/>
      <c r="M13" s="341"/>
      <c r="N13" s="20"/>
      <c r="O13" s="16"/>
      <c r="P13" s="180"/>
      <c r="Q13" s="21"/>
      <c r="V13" t="str">
        <f>IF('_Input Engine'!$A$18="","",'_Input Engine'!$A$18)</f>
        <v>S8</v>
      </c>
    </row>
    <row r="14" spans="1:22" ht="24" customHeight="1">
      <c r="A14" s="342"/>
      <c r="B14" s="342"/>
      <c r="C14" s="344"/>
      <c r="D14" s="345"/>
      <c r="E14" s="342"/>
      <c r="F14" s="340"/>
      <c r="G14" s="343"/>
      <c r="H14" s="236"/>
      <c r="M14" s="341"/>
      <c r="N14" s="20"/>
      <c r="O14" s="16"/>
      <c r="P14" s="180"/>
      <c r="Q14" s="21"/>
      <c r="V14" t="str">
        <f>IF('_Input Engine'!$A$19="","",'_Input Engine'!$A$19)</f>
        <v>S9</v>
      </c>
    </row>
    <row r="15" spans="1:22" ht="24" customHeight="1">
      <c r="A15" s="342"/>
      <c r="B15" s="342"/>
      <c r="C15" s="344"/>
      <c r="D15" s="345"/>
      <c r="E15" s="342"/>
      <c r="F15" s="340"/>
      <c r="G15" s="343"/>
      <c r="H15" s="236"/>
      <c r="M15" s="341"/>
      <c r="N15" s="20"/>
      <c r="O15" s="16"/>
      <c r="P15" s="180"/>
      <c r="Q15" s="21"/>
      <c r="V15" t="str">
        <f>IF('_Input Engine'!$A$20="","",'_Input Engine'!$A$20)</f>
        <v>S10</v>
      </c>
    </row>
    <row r="16" spans="1:22" ht="24" customHeight="1">
      <c r="A16" s="342"/>
      <c r="B16" s="342"/>
      <c r="C16" s="344"/>
      <c r="D16" s="345"/>
      <c r="E16" s="342"/>
      <c r="F16" s="340"/>
      <c r="G16" s="343"/>
      <c r="H16" s="236"/>
      <c r="M16" s="341"/>
      <c r="N16" s="20"/>
      <c r="O16" s="16"/>
      <c r="P16" s="180"/>
      <c r="Q16" s="21"/>
      <c r="V16" t="str">
        <f>IF('_Input Engine'!$A$31="","",'_Input Engine'!$A$31)</f>
        <v>SB1</v>
      </c>
    </row>
    <row r="17" spans="1:22" ht="24" customHeight="1">
      <c r="A17" s="342"/>
      <c r="B17" s="342"/>
      <c r="C17" s="344"/>
      <c r="D17" s="345"/>
      <c r="E17" s="342"/>
      <c r="F17" s="340"/>
      <c r="G17" s="343"/>
      <c r="H17" s="236"/>
      <c r="M17" s="341"/>
      <c r="N17" s="20"/>
      <c r="O17" s="16"/>
      <c r="P17" s="180"/>
      <c r="Q17" s="21"/>
      <c r="V17" t="str">
        <f>IF('_Input Engine'!$A$32="","",'_Input Engine'!$A$32)</f>
        <v>SB2</v>
      </c>
    </row>
    <row r="18" spans="1:22" ht="24" customHeight="1">
      <c r="A18" s="342"/>
      <c r="B18" s="342"/>
      <c r="C18" s="344"/>
      <c r="D18" s="345"/>
      <c r="E18" s="342"/>
      <c r="F18" s="340"/>
      <c r="G18" s="343"/>
      <c r="H18" s="236"/>
      <c r="M18" s="341"/>
      <c r="N18" s="20"/>
      <c r="O18" s="16"/>
      <c r="P18" s="180"/>
      <c r="Q18" s="21"/>
      <c r="V18" t="str">
        <f>IF('_Input Engine'!$A$33="","",'_Input Engine'!$A$33)</f>
        <v>SB3</v>
      </c>
    </row>
    <row r="19" spans="1:22" ht="24" customHeight="1">
      <c r="A19" s="342"/>
      <c r="B19" s="342"/>
      <c r="C19" s="344"/>
      <c r="D19" s="345"/>
      <c r="E19" s="342"/>
      <c r="F19" s="340"/>
      <c r="G19" s="343"/>
      <c r="H19" s="236"/>
      <c r="M19" s="341"/>
      <c r="N19" s="20"/>
      <c r="O19" s="16"/>
      <c r="P19" s="180"/>
      <c r="Q19" s="21"/>
      <c r="V19" t="str">
        <f>IF('_Input Engine'!$A$34="","",'_Input Engine'!$A$34)</f>
        <v>SB4</v>
      </c>
    </row>
    <row r="20" spans="1:22" ht="24" customHeight="1">
      <c r="A20" s="342"/>
      <c r="B20" s="342"/>
      <c r="C20" s="344"/>
      <c r="D20" s="345"/>
      <c r="E20" s="342"/>
      <c r="F20" s="340"/>
      <c r="G20" s="343"/>
      <c r="H20" s="236"/>
      <c r="M20" s="341"/>
      <c r="N20" s="20"/>
      <c r="O20" s="16"/>
      <c r="P20" s="180"/>
      <c r="Q20" s="21"/>
      <c r="V20" t="str">
        <f>IF('_Input Engine'!$A$35="","",'_Input Engine'!$A$35)</f>
        <v>SB5</v>
      </c>
    </row>
    <row r="21" spans="1:22" ht="24" customHeight="1">
      <c r="A21" s="342"/>
      <c r="B21" s="342"/>
      <c r="C21" s="344"/>
      <c r="D21" s="345"/>
      <c r="E21" s="342"/>
      <c r="F21" s="340"/>
      <c r="G21" s="343"/>
      <c r="H21" s="236"/>
      <c r="M21" s="341"/>
      <c r="N21" s="20"/>
      <c r="O21" s="16"/>
      <c r="P21" s="180"/>
      <c r="Q21" s="21"/>
      <c r="V21" t="str">
        <f>IF('_Input Engine'!$A$36="","",'_Input Engine'!$A$36)</f>
        <v>SB6</v>
      </c>
    </row>
    <row r="22" spans="1:22" ht="24" customHeight="1">
      <c r="A22" s="342"/>
      <c r="B22" s="342"/>
      <c r="C22" s="344"/>
      <c r="D22" s="345"/>
      <c r="E22" s="342"/>
      <c r="F22" s="340"/>
      <c r="G22" s="343"/>
      <c r="H22" s="236"/>
      <c r="M22" s="341"/>
      <c r="N22" s="20"/>
      <c r="O22" s="16"/>
      <c r="P22" s="180"/>
      <c r="Q22" s="21"/>
      <c r="V22" t="str">
        <f>IF('_Input Engine'!$A$37="","",'_Input Engine'!$A$37)</f>
        <v>SB7</v>
      </c>
    </row>
    <row r="23" spans="1:22" ht="24" customHeight="1">
      <c r="A23" s="342"/>
      <c r="B23" s="342"/>
      <c r="C23" s="344"/>
      <c r="D23" s="345"/>
      <c r="E23" s="342"/>
      <c r="F23" s="340"/>
      <c r="G23" s="343"/>
      <c r="H23" s="236"/>
      <c r="M23" s="341"/>
      <c r="N23" s="20"/>
      <c r="O23" s="16"/>
      <c r="P23" s="180"/>
      <c r="Q23" s="21"/>
      <c r="V23" t="str">
        <f>IF('_Input Engine'!$A$38="","",'_Input Engine'!$A$38)</f>
        <v>SB8</v>
      </c>
    </row>
    <row r="24" spans="1:22" ht="24" customHeight="1">
      <c r="A24" s="342"/>
      <c r="B24" s="342"/>
      <c r="C24" s="344"/>
      <c r="D24" s="345"/>
      <c r="E24" s="342"/>
      <c r="F24" s="340"/>
      <c r="G24" s="343"/>
      <c r="H24" s="236"/>
      <c r="M24" s="341"/>
      <c r="N24" s="20"/>
      <c r="O24" s="16"/>
      <c r="P24" s="180"/>
      <c r="Q24" s="21"/>
      <c r="V24" t="str">
        <f>IF('_Input Engine'!$A$39="","",'_Input Engine'!$A$39)</f>
        <v>SB9</v>
      </c>
    </row>
    <row r="25" spans="1:22" ht="24" customHeight="1">
      <c r="A25" s="342"/>
      <c r="B25" s="342"/>
      <c r="C25" s="344"/>
      <c r="D25" s="345"/>
      <c r="E25" s="342"/>
      <c r="F25" s="340"/>
      <c r="G25" s="343"/>
      <c r="H25" s="236"/>
      <c r="M25" s="341"/>
      <c r="N25" s="20"/>
      <c r="O25" s="16"/>
      <c r="P25" s="180"/>
      <c r="Q25" s="21"/>
      <c r="V25" t="str">
        <f>IF('_Input Engine'!$A$40="","",'_Input Engine'!$A$40)</f>
        <v>SB10</v>
      </c>
    </row>
    <row r="26" spans="1:22" ht="24" hidden="1" customHeight="1">
      <c r="A26" s="342"/>
      <c r="B26" s="342"/>
      <c r="C26" s="344"/>
      <c r="D26" s="345"/>
      <c r="E26" s="342"/>
      <c r="F26" s="340"/>
      <c r="G26" s="343"/>
      <c r="H26" s="236"/>
      <c r="N26" s="336"/>
      <c r="O26" s="337"/>
      <c r="P26" s="338"/>
      <c r="Q26" s="339"/>
    </row>
    <row r="27" spans="1:22" ht="24" hidden="1" customHeight="1">
      <c r="A27" s="342"/>
      <c r="B27" s="342"/>
      <c r="C27" s="344"/>
      <c r="D27" s="345"/>
      <c r="E27" s="342"/>
      <c r="F27" s="340"/>
      <c r="G27" s="343"/>
      <c r="H27" s="236"/>
      <c r="N27" s="336"/>
      <c r="O27" s="337"/>
      <c r="P27" s="338"/>
      <c r="Q27" s="339"/>
    </row>
    <row r="28" spans="1:22" ht="24" hidden="1" customHeight="1">
      <c r="A28" s="342"/>
      <c r="B28" s="342"/>
      <c r="C28" s="344"/>
      <c r="D28" s="345"/>
      <c r="E28" s="342"/>
      <c r="F28" s="340"/>
      <c r="G28" s="343"/>
      <c r="H28" s="236"/>
      <c r="N28" s="336"/>
      <c r="O28" s="337"/>
      <c r="P28" s="338"/>
      <c r="Q28" s="339"/>
    </row>
    <row r="29" spans="1:22" ht="24" hidden="1" customHeight="1">
      <c r="A29" s="342"/>
      <c r="B29" s="342"/>
      <c r="C29" s="344"/>
      <c r="D29" s="345"/>
      <c r="E29" s="342"/>
      <c r="F29" s="340"/>
      <c r="G29" s="343"/>
      <c r="H29" s="236"/>
      <c r="N29" s="336"/>
      <c r="O29" s="337"/>
      <c r="P29" s="338"/>
      <c r="Q29" s="339"/>
    </row>
    <row r="30" spans="1:22" ht="24" hidden="1" customHeight="1">
      <c r="A30" s="342"/>
      <c r="B30" s="342"/>
      <c r="C30" s="344"/>
      <c r="D30" s="345"/>
      <c r="E30" s="342"/>
      <c r="F30" s="340"/>
      <c r="G30" s="343"/>
      <c r="H30" s="236"/>
      <c r="N30" s="336"/>
      <c r="O30" s="337"/>
      <c r="P30" s="338"/>
      <c r="Q30" s="339"/>
    </row>
    <row r="31" spans="1:22" ht="24" hidden="1" customHeight="1">
      <c r="A31" s="342"/>
      <c r="B31" s="342"/>
      <c r="C31" s="344"/>
      <c r="D31" s="345"/>
      <c r="E31" s="342"/>
      <c r="F31" s="340"/>
      <c r="G31" s="343"/>
      <c r="H31" s="236"/>
      <c r="N31" s="336"/>
      <c r="O31" s="337"/>
      <c r="P31" s="338"/>
      <c r="Q31" s="339"/>
    </row>
    <row r="32" spans="1:22" ht="24" hidden="1" customHeight="1">
      <c r="A32" s="342"/>
      <c r="B32" s="342"/>
      <c r="C32" s="344"/>
      <c r="D32" s="345"/>
      <c r="E32" s="342"/>
      <c r="F32" s="340"/>
      <c r="G32" s="343"/>
      <c r="H32" s="236"/>
      <c r="N32" s="336"/>
      <c r="O32" s="337"/>
      <c r="P32" s="338"/>
      <c r="Q32" s="339"/>
    </row>
    <row r="33" spans="1:17" ht="24" hidden="1" customHeight="1">
      <c r="A33" s="342"/>
      <c r="B33" s="342"/>
      <c r="C33" s="344"/>
      <c r="D33" s="345"/>
      <c r="E33" s="342"/>
      <c r="F33" s="340"/>
      <c r="G33" s="343"/>
      <c r="H33" s="236"/>
      <c r="N33" s="336"/>
      <c r="O33" s="337"/>
      <c r="P33" s="338"/>
      <c r="Q33" s="339"/>
    </row>
    <row r="34" spans="1:17" ht="24" hidden="1" customHeight="1">
      <c r="A34" s="342"/>
      <c r="B34" s="342"/>
      <c r="C34" s="344"/>
      <c r="D34" s="345"/>
      <c r="E34" s="342"/>
      <c r="F34" s="340"/>
      <c r="G34" s="343"/>
      <c r="H34" s="236"/>
      <c r="N34" s="336"/>
      <c r="O34" s="337"/>
      <c r="P34" s="338"/>
      <c r="Q34" s="339"/>
    </row>
    <row r="35" spans="1:17" ht="24" hidden="1" customHeight="1">
      <c r="A35" s="342"/>
      <c r="B35" s="342"/>
      <c r="C35" s="344"/>
      <c r="D35" s="345"/>
      <c r="E35" s="342"/>
      <c r="F35" s="340"/>
      <c r="G35" s="343"/>
      <c r="H35" s="236"/>
      <c r="N35" s="336"/>
      <c r="O35" s="337"/>
      <c r="P35" s="338"/>
      <c r="Q35" s="339"/>
    </row>
    <row r="36" spans="1:17" ht="24" hidden="1" customHeight="1">
      <c r="A36" s="342"/>
      <c r="B36" s="342"/>
      <c r="C36" s="344"/>
      <c r="D36" s="345"/>
      <c r="E36" s="342"/>
      <c r="F36" s="340"/>
      <c r="G36" s="343"/>
      <c r="H36" s="236"/>
      <c r="N36" s="336"/>
      <c r="O36" s="337"/>
      <c r="P36" s="338"/>
      <c r="Q36" s="339"/>
    </row>
    <row r="37" spans="1:17" ht="24" hidden="1" customHeight="1">
      <c r="A37" s="342"/>
      <c r="B37" s="342"/>
      <c r="C37" s="344"/>
      <c r="D37" s="345"/>
      <c r="E37" s="342"/>
      <c r="F37" s="340"/>
      <c r="G37" s="343"/>
      <c r="H37" s="236"/>
      <c r="N37" s="336"/>
      <c r="O37" s="337"/>
      <c r="P37" s="338"/>
      <c r="Q37" s="339"/>
    </row>
    <row r="38" spans="1:17" ht="24" hidden="1" customHeight="1">
      <c r="A38" s="342"/>
      <c r="B38" s="342"/>
      <c r="C38" s="344"/>
      <c r="D38" s="345"/>
      <c r="E38" s="342"/>
      <c r="F38" s="340"/>
      <c r="G38" s="343"/>
      <c r="H38" s="236"/>
      <c r="N38" s="336"/>
      <c r="O38" s="337"/>
      <c r="P38" s="338"/>
      <c r="Q38" s="339"/>
    </row>
    <row r="39" spans="1:17" ht="24" hidden="1" customHeight="1">
      <c r="A39" s="342"/>
      <c r="B39" s="342"/>
      <c r="C39" s="344"/>
      <c r="D39" s="345"/>
      <c r="E39" s="342"/>
      <c r="F39" s="340"/>
      <c r="G39" s="343"/>
      <c r="H39" s="236"/>
      <c r="N39" s="336"/>
      <c r="O39" s="337"/>
      <c r="P39" s="338"/>
      <c r="Q39" s="339"/>
    </row>
    <row r="40" spans="1:17" ht="24" hidden="1" customHeight="1">
      <c r="A40" s="342"/>
      <c r="B40" s="342"/>
      <c r="C40" s="344"/>
      <c r="D40" s="345"/>
      <c r="E40" s="342"/>
      <c r="F40" s="340"/>
      <c r="G40" s="343"/>
      <c r="H40" s="236"/>
      <c r="N40" s="336"/>
      <c r="O40" s="337"/>
      <c r="P40" s="338"/>
      <c r="Q40" s="339"/>
    </row>
    <row r="41" spans="1:17" ht="24" hidden="1" customHeight="1">
      <c r="A41" s="342"/>
      <c r="B41" s="342"/>
      <c r="C41" s="344"/>
      <c r="D41" s="345"/>
      <c r="E41" s="342"/>
      <c r="F41" s="340"/>
      <c r="G41" s="343"/>
      <c r="H41" s="236"/>
      <c r="N41" s="336"/>
      <c r="O41" s="337"/>
      <c r="P41" s="338"/>
      <c r="Q41" s="339"/>
    </row>
    <row r="42" spans="1:17" ht="24" hidden="1" customHeight="1">
      <c r="A42" s="342"/>
      <c r="B42" s="342"/>
      <c r="C42" s="344"/>
      <c r="D42" s="345"/>
      <c r="E42" s="342"/>
      <c r="F42" s="340"/>
      <c r="G42" s="343"/>
      <c r="H42" s="236"/>
      <c r="N42" s="336"/>
      <c r="O42" s="337"/>
      <c r="P42" s="338"/>
      <c r="Q42" s="339"/>
    </row>
    <row r="43" spans="1:17" ht="24" hidden="1" customHeight="1">
      <c r="A43" s="342"/>
      <c r="B43" s="342"/>
      <c r="C43" s="344"/>
      <c r="D43" s="345"/>
      <c r="E43" s="342"/>
      <c r="F43" s="340"/>
      <c r="G43" s="343"/>
      <c r="H43" s="236"/>
      <c r="N43" s="336"/>
      <c r="O43" s="337"/>
      <c r="P43" s="338"/>
      <c r="Q43" s="339"/>
    </row>
    <row r="44" spans="1:17" ht="24" hidden="1" customHeight="1">
      <c r="A44" s="342"/>
      <c r="B44" s="342"/>
      <c r="C44" s="344"/>
      <c r="D44" s="345"/>
      <c r="E44" s="342"/>
      <c r="F44" s="340"/>
      <c r="G44" s="343"/>
      <c r="H44" s="236"/>
      <c r="N44" s="336"/>
      <c r="O44" s="337"/>
      <c r="P44" s="338"/>
      <c r="Q44" s="339"/>
    </row>
    <row r="45" spans="1:17" ht="24" hidden="1" customHeight="1">
      <c r="A45" s="342"/>
      <c r="B45" s="342"/>
      <c r="C45" s="344"/>
      <c r="D45" s="345"/>
      <c r="E45" s="342"/>
      <c r="F45" s="340"/>
      <c r="G45" s="343"/>
      <c r="H45" s="236"/>
      <c r="N45" s="336"/>
      <c r="O45" s="337"/>
      <c r="P45" s="338"/>
      <c r="Q45" s="339"/>
    </row>
    <row r="46" spans="1:17" ht="24" hidden="1" customHeight="1">
      <c r="A46" s="342"/>
      <c r="B46" s="342"/>
      <c r="C46" s="344"/>
      <c r="D46" s="345"/>
      <c r="E46" s="342"/>
      <c r="F46" s="340"/>
      <c r="G46" s="343"/>
      <c r="H46" s="236"/>
      <c r="N46" s="336"/>
      <c r="O46" s="337"/>
      <c r="P46" s="338"/>
      <c r="Q46" s="339"/>
    </row>
    <row r="47" spans="1:17" ht="24" hidden="1" customHeight="1">
      <c r="A47" s="342"/>
      <c r="B47" s="342"/>
      <c r="C47" s="344"/>
      <c r="D47" s="345"/>
      <c r="E47" s="342"/>
      <c r="F47" s="340"/>
      <c r="G47" s="343"/>
      <c r="H47" s="236"/>
      <c r="N47" s="336"/>
      <c r="O47" s="337"/>
      <c r="P47" s="338"/>
      <c r="Q47" s="339"/>
    </row>
    <row r="48" spans="1:17" ht="24" hidden="1" customHeight="1">
      <c r="A48" s="342"/>
      <c r="B48" s="342"/>
      <c r="C48" s="344"/>
      <c r="D48" s="345"/>
      <c r="E48" s="342"/>
      <c r="F48" s="340"/>
      <c r="G48" s="343"/>
      <c r="H48" s="236"/>
      <c r="N48" s="336"/>
      <c r="O48" s="337"/>
      <c r="P48" s="338"/>
      <c r="Q48" s="339"/>
    </row>
    <row r="49" spans="1:17" ht="24" hidden="1" customHeight="1">
      <c r="A49" s="342"/>
      <c r="B49" s="342"/>
      <c r="C49" s="344"/>
      <c r="D49" s="345"/>
      <c r="E49" s="342"/>
      <c r="F49" s="340"/>
      <c r="G49" s="343"/>
      <c r="H49" s="236"/>
      <c r="N49" s="336"/>
      <c r="O49" s="337"/>
      <c r="P49" s="338"/>
      <c r="Q49" s="339"/>
    </row>
    <row r="50" spans="1:17" ht="24" hidden="1" customHeight="1">
      <c r="A50" s="342"/>
      <c r="B50" s="342"/>
      <c r="C50" s="344"/>
      <c r="D50" s="345"/>
      <c r="E50" s="342"/>
      <c r="F50" s="340"/>
      <c r="G50" s="343"/>
      <c r="H50" s="236"/>
      <c r="N50" s="336"/>
      <c r="O50" s="337"/>
      <c r="P50" s="338"/>
      <c r="Q50" s="339"/>
    </row>
    <row r="51" spans="1:17" ht="24" hidden="1" customHeight="1">
      <c r="A51" s="342"/>
      <c r="B51" s="342"/>
      <c r="C51" s="344"/>
      <c r="D51" s="345"/>
      <c r="E51" s="342"/>
      <c r="F51" s="340"/>
      <c r="G51" s="343"/>
      <c r="H51" s="236"/>
      <c r="N51" s="336"/>
      <c r="O51" s="337"/>
      <c r="P51" s="338"/>
      <c r="Q51" s="339"/>
    </row>
    <row r="52" spans="1:17" ht="24" hidden="1" customHeight="1">
      <c r="A52" s="342"/>
      <c r="B52" s="342"/>
      <c r="C52" s="344"/>
      <c r="D52" s="345"/>
      <c r="E52" s="342"/>
      <c r="F52" s="340"/>
      <c r="G52" s="343"/>
      <c r="H52" s="236"/>
      <c r="N52" s="336"/>
      <c r="O52" s="337"/>
      <c r="P52" s="338"/>
      <c r="Q52" s="339"/>
    </row>
    <row r="53" spans="1:17" ht="24" hidden="1" customHeight="1">
      <c r="A53" s="342"/>
      <c r="B53" s="342"/>
      <c r="C53" s="344"/>
      <c r="D53" s="345"/>
      <c r="E53" s="342"/>
      <c r="F53" s="340"/>
      <c r="G53" s="343"/>
      <c r="H53" s="236"/>
      <c r="N53" s="336"/>
      <c r="O53" s="337"/>
      <c r="P53" s="338"/>
      <c r="Q53" s="339"/>
    </row>
    <row r="54" spans="1:17" ht="24" hidden="1" customHeight="1">
      <c r="A54" s="342"/>
      <c r="B54" s="342"/>
      <c r="C54" s="344"/>
      <c r="D54" s="345"/>
      <c r="E54" s="342"/>
      <c r="F54" s="340"/>
      <c r="G54" s="343"/>
      <c r="H54" s="236"/>
      <c r="N54" s="336"/>
      <c r="O54" s="337"/>
      <c r="P54" s="338"/>
      <c r="Q54" s="339"/>
    </row>
    <row r="55" spans="1:17" ht="24" hidden="1" customHeight="1">
      <c r="A55" s="342"/>
      <c r="B55" s="342"/>
      <c r="C55" s="344"/>
      <c r="D55" s="345"/>
      <c r="E55" s="342"/>
      <c r="F55" s="340"/>
      <c r="G55" s="343"/>
      <c r="H55" s="236"/>
      <c r="N55" s="336"/>
      <c r="O55" s="337"/>
      <c r="P55" s="338"/>
      <c r="Q55" s="339"/>
    </row>
    <row r="56" spans="1:17" ht="24" hidden="1" customHeight="1">
      <c r="A56" s="342"/>
      <c r="B56" s="342"/>
      <c r="C56" s="344"/>
      <c r="D56" s="345"/>
      <c r="E56" s="342"/>
      <c r="F56" s="340"/>
      <c r="G56" s="343"/>
      <c r="H56" s="236"/>
      <c r="N56" s="336"/>
      <c r="O56" s="337"/>
      <c r="P56" s="338"/>
      <c r="Q56" s="339"/>
    </row>
    <row r="57" spans="1:17" ht="24" hidden="1" customHeight="1">
      <c r="A57" s="342"/>
      <c r="B57" s="342"/>
      <c r="C57" s="344"/>
      <c r="D57" s="345"/>
      <c r="E57" s="342"/>
      <c r="F57" s="340"/>
      <c r="G57" s="343"/>
      <c r="H57" s="236"/>
      <c r="N57" s="336"/>
      <c r="O57" s="337"/>
      <c r="P57" s="338"/>
      <c r="Q57" s="339"/>
    </row>
    <row r="58" spans="1:17" ht="24" hidden="1" customHeight="1">
      <c r="A58" s="342"/>
      <c r="B58" s="342"/>
      <c r="C58" s="344"/>
      <c r="D58" s="345"/>
      <c r="E58" s="342"/>
      <c r="F58" s="340"/>
      <c r="G58" s="343"/>
      <c r="H58" s="236"/>
      <c r="N58" s="336"/>
      <c r="O58" s="337"/>
      <c r="P58" s="338"/>
      <c r="Q58" s="339"/>
    </row>
    <row r="59" spans="1:17" ht="24" hidden="1" customHeight="1">
      <c r="A59" s="342"/>
      <c r="B59" s="342"/>
      <c r="C59" s="344"/>
      <c r="D59" s="345"/>
      <c r="E59" s="342"/>
      <c r="F59" s="340"/>
      <c r="G59" s="343"/>
      <c r="H59" s="236"/>
      <c r="N59" s="336"/>
      <c r="O59" s="337"/>
      <c r="P59" s="338"/>
      <c r="Q59" s="339"/>
    </row>
    <row r="60" spans="1:17" ht="24" hidden="1" customHeight="1">
      <c r="A60" s="342"/>
      <c r="B60" s="342"/>
      <c r="C60" s="344"/>
      <c r="D60" s="345"/>
      <c r="E60" s="342"/>
      <c r="F60" s="340"/>
      <c r="G60" s="343"/>
      <c r="H60" s="236"/>
      <c r="N60" s="336"/>
      <c r="O60" s="337"/>
      <c r="P60" s="338"/>
      <c r="Q60" s="339"/>
    </row>
    <row r="61" spans="1:17" ht="24" hidden="1" customHeight="1">
      <c r="A61" s="342"/>
      <c r="B61" s="342"/>
      <c r="C61" s="344"/>
      <c r="D61" s="345"/>
      <c r="E61" s="342"/>
      <c r="F61" s="340"/>
      <c r="G61" s="343"/>
      <c r="H61" s="236"/>
      <c r="N61" s="336"/>
      <c r="O61" s="337"/>
      <c r="P61" s="338"/>
      <c r="Q61" s="339"/>
    </row>
    <row r="62" spans="1:17" ht="24" hidden="1" customHeight="1">
      <c r="A62" s="342"/>
      <c r="B62" s="342"/>
      <c r="C62" s="344"/>
      <c r="D62" s="345"/>
      <c r="E62" s="342"/>
      <c r="F62" s="340"/>
      <c r="G62" s="343"/>
      <c r="H62" s="236"/>
      <c r="N62" s="336"/>
      <c r="O62" s="337"/>
      <c r="P62" s="338"/>
      <c r="Q62" s="339"/>
    </row>
    <row r="63" spans="1:17" ht="24" hidden="1" customHeight="1">
      <c r="A63" s="342"/>
      <c r="B63" s="342"/>
      <c r="C63" s="344"/>
      <c r="D63" s="345"/>
      <c r="E63" s="342"/>
      <c r="F63" s="340"/>
      <c r="G63" s="343"/>
      <c r="H63" s="236"/>
      <c r="N63" s="336"/>
      <c r="O63" s="337"/>
      <c r="P63" s="338"/>
      <c r="Q63" s="339"/>
    </row>
    <row r="64" spans="1:17" ht="24" hidden="1" customHeight="1">
      <c r="A64" s="342"/>
      <c r="B64" s="342"/>
      <c r="C64" s="344"/>
      <c r="D64" s="345"/>
      <c r="E64" s="342"/>
      <c r="F64" s="340"/>
      <c r="G64" s="343"/>
      <c r="H64" s="236"/>
      <c r="N64" s="336"/>
      <c r="O64" s="337"/>
      <c r="P64" s="338"/>
      <c r="Q64" s="339"/>
    </row>
    <row r="65" spans="1:22" ht="24" hidden="1" customHeight="1">
      <c r="A65" s="342"/>
      <c r="B65" s="342"/>
      <c r="C65" s="344"/>
      <c r="D65" s="345"/>
      <c r="E65" s="342"/>
      <c r="F65" s="340"/>
      <c r="G65" s="343"/>
      <c r="H65" s="236"/>
      <c r="N65" s="336"/>
      <c r="O65" s="337"/>
      <c r="P65" s="338"/>
      <c r="Q65" s="339"/>
    </row>
    <row r="66" spans="1:22" ht="24" hidden="1" customHeight="1">
      <c r="A66" s="342"/>
      <c r="B66" s="342"/>
      <c r="C66" s="344"/>
      <c r="D66" s="345"/>
      <c r="E66" s="342"/>
      <c r="F66" s="340"/>
      <c r="G66" s="343"/>
      <c r="H66" s="236"/>
      <c r="N66" s="336"/>
      <c r="O66" s="337"/>
      <c r="P66" s="338"/>
      <c r="Q66" s="339"/>
    </row>
    <row r="67" spans="1:22" ht="24" hidden="1" customHeight="1">
      <c r="A67" s="342"/>
      <c r="B67" s="342"/>
      <c r="C67" s="344"/>
      <c r="D67" s="345"/>
      <c r="E67" s="342"/>
      <c r="F67" s="340"/>
      <c r="G67" s="343"/>
      <c r="H67" s="236"/>
      <c r="N67" s="336"/>
      <c r="O67" s="337"/>
      <c r="P67" s="338"/>
      <c r="Q67" s="339"/>
    </row>
    <row r="68" spans="1:22" ht="24" hidden="1" customHeight="1">
      <c r="A68" s="342"/>
      <c r="B68" s="342"/>
      <c r="C68" s="344"/>
      <c r="D68" s="345"/>
      <c r="E68" s="342"/>
      <c r="F68" s="340"/>
      <c r="G68" s="343"/>
      <c r="H68" s="236"/>
      <c r="N68" s="336"/>
      <c r="O68" s="337"/>
      <c r="P68" s="338"/>
      <c r="Q68" s="339"/>
    </row>
    <row r="69" spans="1:22" ht="24" hidden="1" customHeight="1">
      <c r="A69" s="342"/>
      <c r="B69" s="342"/>
      <c r="C69" s="344"/>
      <c r="D69" s="345"/>
      <c r="E69" s="342"/>
      <c r="F69" s="340"/>
      <c r="G69" s="343"/>
      <c r="H69" s="236"/>
      <c r="N69" s="336"/>
      <c r="O69" s="337"/>
      <c r="P69" s="338"/>
      <c r="Q69" s="339"/>
    </row>
    <row r="70" spans="1:22" ht="24" hidden="1" customHeight="1">
      <c r="A70" s="342"/>
      <c r="B70" s="342"/>
      <c r="C70" s="344"/>
      <c r="D70" s="345"/>
      <c r="E70" s="342"/>
      <c r="F70" s="340"/>
      <c r="G70" s="343"/>
      <c r="H70" s="236"/>
      <c r="N70" s="336"/>
      <c r="O70" s="337"/>
      <c r="P70" s="338"/>
      <c r="Q70" s="339"/>
    </row>
    <row r="71" spans="1:22" ht="24" hidden="1" customHeight="1">
      <c r="A71" s="342"/>
      <c r="B71" s="342"/>
      <c r="C71" s="344"/>
      <c r="D71" s="345"/>
      <c r="E71" s="342"/>
      <c r="F71" s="340"/>
      <c r="G71" s="343"/>
      <c r="H71" s="236"/>
      <c r="N71" s="336"/>
      <c r="O71" s="337"/>
      <c r="P71" s="338"/>
      <c r="Q71" s="339"/>
    </row>
    <row r="72" spans="1:22" ht="24" hidden="1" customHeight="1">
      <c r="A72" s="342"/>
      <c r="B72" s="342"/>
      <c r="C72" s="344"/>
      <c r="D72" s="345"/>
      <c r="E72" s="342"/>
      <c r="F72" s="340"/>
      <c r="G72" s="343"/>
      <c r="H72" s="236"/>
      <c r="N72" s="336"/>
      <c r="O72" s="337"/>
      <c r="P72" s="338"/>
      <c r="Q72" s="339"/>
    </row>
    <row r="73" spans="1:22" ht="24" hidden="1" customHeight="1">
      <c r="A73" s="342"/>
      <c r="B73" s="342"/>
      <c r="C73" s="344"/>
      <c r="D73" s="345"/>
      <c r="E73" s="342"/>
      <c r="F73" s="340"/>
      <c r="G73" s="343"/>
      <c r="H73" s="236"/>
      <c r="N73" s="336"/>
      <c r="O73" s="337"/>
      <c r="P73" s="338"/>
      <c r="Q73" s="339"/>
    </row>
    <row r="74" spans="1:22" ht="24" hidden="1" customHeight="1">
      <c r="A74" s="342"/>
      <c r="B74" s="342"/>
      <c r="C74" s="344"/>
      <c r="D74" s="345"/>
      <c r="E74" s="342"/>
      <c r="F74" s="340"/>
      <c r="G74" s="343"/>
      <c r="H74" s="236"/>
      <c r="N74" s="336"/>
      <c r="O74" s="337"/>
      <c r="P74" s="338"/>
      <c r="Q74" s="339"/>
    </row>
    <row r="75" spans="1:22" ht="24" hidden="1" customHeight="1">
      <c r="A75" s="342"/>
      <c r="B75" s="342"/>
      <c r="C75" s="344"/>
      <c r="D75" s="345"/>
      <c r="E75" s="342"/>
      <c r="F75" s="340"/>
      <c r="G75" s="343"/>
      <c r="H75" s="236"/>
      <c r="N75" s="336"/>
      <c r="O75" s="337"/>
      <c r="P75" s="338"/>
      <c r="Q75" s="339"/>
    </row>
    <row r="76" spans="1:22">
      <c r="V76" t="str">
        <f>IF('_Input Engine'!$A$41="","",'_Input Engine'!$A$41)</f>
        <v>SB11</v>
      </c>
    </row>
    <row r="77" spans="1:22" ht="24" customHeight="1">
      <c r="A77" s="437" t="s">
        <v>116</v>
      </c>
      <c r="B77" s="437"/>
      <c r="C77" s="437"/>
      <c r="D77" s="437"/>
      <c r="E77" s="437"/>
      <c r="F77" s="437"/>
      <c r="G77" s="93"/>
      <c r="H77" s="93"/>
      <c r="V77" t="str">
        <f>IF('_Input Engine'!$A$42="","",'_Input Engine'!$A$42)</f>
        <v>SB12</v>
      </c>
    </row>
    <row r="78" spans="1:22" ht="28.05" customHeight="1">
      <c r="A78" s="8" t="s">
        <v>117</v>
      </c>
      <c r="B78" s="8" t="s">
        <v>118</v>
      </c>
      <c r="C78" s="8"/>
      <c r="D78" s="8"/>
      <c r="E78" s="8" t="s">
        <v>119</v>
      </c>
      <c r="F78" s="8"/>
      <c r="G78" s="94"/>
      <c r="H78" s="94"/>
      <c r="V78" t="str">
        <f>IF('_Input Engine'!$A$43="","",'_Input Engine'!$A$43)</f>
        <v>SB13</v>
      </c>
    </row>
    <row r="79" spans="1:22" ht="64.05" customHeight="1">
      <c r="A79" s="200" t="str">
        <f t="shared" ref="A79:A98" si="0">IF(OR(A6="",D6=""),"",A6&amp;"  "&amp;TEXT(D6*1000,"0.###")&amp;" mm "&amp;IF(ISNUMBER(SEARCH("Slab",B6)),"THK.","dp."))</f>
        <v/>
      </c>
      <c r="B79" s="434" t="str">
        <f t="shared" ref="B79:B98" si="1">IF(H6="","","Span / Depth = "&amp;TEXT(C6*1000,"0.###")&amp;" / "&amp;TEXT(D6*1000,"0.###")&amp;IF(AND(C6&gt;10.001,E6&lt;&gt;"Cantilever")," × "&amp;TEXT(C6,"0.###")&amp;" / 10","")&amp;IF(OR(H6="OKAY",H6="NOT OKAY")," = "&amp;TEXT(F6,"0.0")&amp;IF(F6&lt;G6," &lt; ",IF(F6=G6," = "," &gt; "))&amp;TEXT(G6,"0"),"")&amp;CHAR(10)&amp;"∴ "&amp;H6&amp;IF(AND(H6="NOT OKAY",OR(ISNUMBER(SEARCH("Beam",B6)),ISNUMBER(SEARCH("Slab",B6)))),CHAR(10)&amp;"(Actual defection will be checked in Section B)",""))</f>
        <v/>
      </c>
      <c r="C79" s="434"/>
      <c r="D79" s="434"/>
      <c r="E79" s="434"/>
      <c r="F79" s="201" t="str">
        <f>IF($A$6="","",$H$6)</f>
        <v/>
      </c>
      <c r="G79" s="95"/>
      <c r="H79" s="95"/>
      <c r="V79" t="str">
        <f>IF('_Input Engine'!$A$44="","",'_Input Engine'!$A$44)</f>
        <v>SB14</v>
      </c>
    </row>
    <row r="80" spans="1:22" ht="64.05" customHeight="1">
      <c r="A80" s="200" t="str">
        <f t="shared" si="0"/>
        <v/>
      </c>
      <c r="B80" s="434" t="str">
        <f t="shared" si="1"/>
        <v/>
      </c>
      <c r="C80" s="434"/>
      <c r="D80" s="434"/>
      <c r="E80" s="434"/>
      <c r="F80" s="201" t="str">
        <f>IF($A$7="","",$H$7)</f>
        <v/>
      </c>
      <c r="G80" s="95"/>
      <c r="H80" s="95"/>
      <c r="V80" t="str">
        <f>IF('_Input Engine'!$A$45="","",'_Input Engine'!$A$45)</f>
        <v>SB15</v>
      </c>
    </row>
    <row r="81" spans="1:22" ht="64.05" customHeight="1">
      <c r="A81" s="200" t="str">
        <f t="shared" si="0"/>
        <v/>
      </c>
      <c r="B81" s="434" t="str">
        <f t="shared" si="1"/>
        <v/>
      </c>
      <c r="C81" s="434"/>
      <c r="D81" s="434"/>
      <c r="E81" s="434"/>
      <c r="F81" s="201" t="str">
        <f>IF($A$8="","",$H$8)</f>
        <v/>
      </c>
      <c r="G81" s="95"/>
      <c r="H81" s="95"/>
      <c r="V81" t="str">
        <f>IF('_Input Engine'!$A$46="","",'_Input Engine'!$A$46)</f>
        <v>SB16</v>
      </c>
    </row>
    <row r="82" spans="1:22" ht="64.05" customHeight="1">
      <c r="A82" s="200" t="str">
        <f t="shared" si="0"/>
        <v/>
      </c>
      <c r="B82" s="434" t="str">
        <f t="shared" si="1"/>
        <v/>
      </c>
      <c r="C82" s="434"/>
      <c r="D82" s="434"/>
      <c r="E82" s="434"/>
      <c r="F82" s="201" t="str">
        <f>IF($A$9="","",$H$9)</f>
        <v/>
      </c>
      <c r="G82" s="95"/>
      <c r="H82" s="95"/>
      <c r="V82" t="str">
        <f>IF('_Input Engine'!$A$47="","",'_Input Engine'!$A$47)</f>
        <v>SB17</v>
      </c>
    </row>
    <row r="83" spans="1:22" ht="64.05" customHeight="1">
      <c r="A83" s="200" t="str">
        <f t="shared" si="0"/>
        <v/>
      </c>
      <c r="B83" s="434" t="str">
        <f t="shared" si="1"/>
        <v/>
      </c>
      <c r="C83" s="434"/>
      <c r="D83" s="434"/>
      <c r="E83" s="434"/>
      <c r="F83" s="201" t="str">
        <f>IF($A$10="","",$H$10)</f>
        <v/>
      </c>
      <c r="G83" s="95"/>
      <c r="H83" s="95"/>
      <c r="V83" t="str">
        <f>IF('_Input Engine'!$A$48="","",'_Input Engine'!$A$48)</f>
        <v>SB18</v>
      </c>
    </row>
    <row r="84" spans="1:22" ht="64.05" customHeight="1">
      <c r="A84" s="200" t="str">
        <f t="shared" si="0"/>
        <v/>
      </c>
      <c r="B84" s="434" t="str">
        <f t="shared" si="1"/>
        <v/>
      </c>
      <c r="C84" s="434"/>
      <c r="D84" s="434"/>
      <c r="E84" s="434"/>
      <c r="F84" s="201" t="str">
        <f>IF($A$11="","",$H$11)</f>
        <v/>
      </c>
      <c r="G84" s="95"/>
      <c r="H84" s="95"/>
      <c r="V84" t="str">
        <f>IF('_Input Engine'!$A$49="","",'_Input Engine'!$A$49)</f>
        <v>SB19</v>
      </c>
    </row>
    <row r="85" spans="1:22" ht="64.05" customHeight="1">
      <c r="A85" s="200" t="str">
        <f t="shared" si="0"/>
        <v/>
      </c>
      <c r="B85" s="434" t="str">
        <f t="shared" si="1"/>
        <v/>
      </c>
      <c r="C85" s="434"/>
      <c r="D85" s="434"/>
      <c r="E85" s="434"/>
      <c r="F85" s="201" t="str">
        <f>IF($A$12="","",$H$12)</f>
        <v/>
      </c>
      <c r="G85" s="95"/>
      <c r="H85" s="95"/>
      <c r="V85" t="str">
        <f>IF('_Input Engine'!$A$50="","",'_Input Engine'!$A$50)</f>
        <v>SB20</v>
      </c>
    </row>
    <row r="86" spans="1:22" ht="64.05" customHeight="1">
      <c r="A86" s="200" t="str">
        <f t="shared" si="0"/>
        <v/>
      </c>
      <c r="B86" s="434" t="str">
        <f t="shared" si="1"/>
        <v/>
      </c>
      <c r="C86" s="434"/>
      <c r="D86" s="434"/>
      <c r="E86" s="434"/>
      <c r="F86" s="201" t="str">
        <f>IF($A$13="","",$H$13)</f>
        <v/>
      </c>
      <c r="G86" s="95"/>
      <c r="H86" s="95"/>
      <c r="V86" t="str">
        <f>IF('_Input Engine'!$A$61="","",'_Input Engine'!$A$61)</f>
        <v>MB1</v>
      </c>
    </row>
    <row r="87" spans="1:22" ht="64.05" customHeight="1">
      <c r="A87" s="200" t="str">
        <f t="shared" si="0"/>
        <v/>
      </c>
      <c r="B87" s="434" t="str">
        <f t="shared" si="1"/>
        <v/>
      </c>
      <c r="C87" s="434"/>
      <c r="D87" s="434"/>
      <c r="E87" s="434"/>
      <c r="F87" s="201" t="str">
        <f>IF($A$14="","",$H$14)</f>
        <v/>
      </c>
      <c r="G87" s="95"/>
      <c r="H87" s="95"/>
      <c r="V87" t="str">
        <f>IF('_Input Engine'!$A$62="","",'_Input Engine'!$A$62)</f>
        <v>MB2</v>
      </c>
    </row>
    <row r="88" spans="1:22" ht="64.05" customHeight="1">
      <c r="A88" s="200" t="str">
        <f t="shared" si="0"/>
        <v/>
      </c>
      <c r="B88" s="434" t="str">
        <f t="shared" si="1"/>
        <v/>
      </c>
      <c r="C88" s="434"/>
      <c r="D88" s="434"/>
      <c r="E88" s="434"/>
      <c r="F88" s="201" t="str">
        <f>IF($A$15="","",$H$15)</f>
        <v/>
      </c>
      <c r="G88" s="95"/>
      <c r="H88" s="95"/>
      <c r="V88" t="str">
        <f>IF('_Input Engine'!$A$63="","",'_Input Engine'!$A$63)</f>
        <v>MB3</v>
      </c>
    </row>
    <row r="89" spans="1:22" ht="64.05" customHeight="1">
      <c r="A89" s="200" t="str">
        <f t="shared" si="0"/>
        <v/>
      </c>
      <c r="B89" s="434" t="str">
        <f t="shared" si="1"/>
        <v/>
      </c>
      <c r="C89" s="434"/>
      <c r="D89" s="434"/>
      <c r="E89" s="434"/>
      <c r="F89" s="201" t="str">
        <f>IF($A$16="","",$H$16)</f>
        <v/>
      </c>
      <c r="G89" s="95"/>
      <c r="H89" s="95"/>
      <c r="V89" t="str">
        <f>IF('_Input Engine'!$A$64="","",'_Input Engine'!$A$64)</f>
        <v>MB4</v>
      </c>
    </row>
    <row r="90" spans="1:22" ht="64.05" customHeight="1">
      <c r="A90" s="200" t="str">
        <f t="shared" si="0"/>
        <v/>
      </c>
      <c r="B90" s="434" t="str">
        <f t="shared" si="1"/>
        <v/>
      </c>
      <c r="C90" s="434"/>
      <c r="D90" s="434"/>
      <c r="E90" s="434"/>
      <c r="F90" s="201" t="str">
        <f>IF($A$17="","",$H$17)</f>
        <v/>
      </c>
      <c r="G90" s="95"/>
      <c r="H90" s="95"/>
      <c r="V90" t="str">
        <f>IF('_Input Engine'!$A$65="","",'_Input Engine'!$A$65)</f>
        <v>MB5</v>
      </c>
    </row>
    <row r="91" spans="1:22" ht="64.05" customHeight="1">
      <c r="A91" s="200" t="str">
        <f t="shared" si="0"/>
        <v/>
      </c>
      <c r="B91" s="434" t="str">
        <f t="shared" si="1"/>
        <v/>
      </c>
      <c r="C91" s="434"/>
      <c r="D91" s="434"/>
      <c r="E91" s="434"/>
      <c r="F91" s="201" t="str">
        <f>IF($A$18="","",$H$18)</f>
        <v/>
      </c>
      <c r="G91" s="95"/>
      <c r="H91" s="95"/>
      <c r="V91" t="str">
        <f>IF('_Input Engine'!$A$66="","",'_Input Engine'!$A$66)</f>
        <v>MB6</v>
      </c>
    </row>
    <row r="92" spans="1:22" ht="64.05" customHeight="1">
      <c r="A92" s="200" t="str">
        <f t="shared" si="0"/>
        <v/>
      </c>
      <c r="B92" s="434" t="str">
        <f t="shared" si="1"/>
        <v/>
      </c>
      <c r="C92" s="434"/>
      <c r="D92" s="434"/>
      <c r="E92" s="434"/>
      <c r="F92" s="201" t="str">
        <f>IF($A$19="","",$H$19)</f>
        <v/>
      </c>
      <c r="G92" s="95"/>
      <c r="H92" s="95"/>
      <c r="V92" t="str">
        <f>IF('_Input Engine'!$A$67="","",'_Input Engine'!$A$67)</f>
        <v>MB7</v>
      </c>
    </row>
    <row r="93" spans="1:22" ht="64.05" customHeight="1">
      <c r="A93" s="200" t="str">
        <f t="shared" si="0"/>
        <v/>
      </c>
      <c r="B93" s="434" t="str">
        <f t="shared" si="1"/>
        <v/>
      </c>
      <c r="C93" s="434"/>
      <c r="D93" s="434"/>
      <c r="E93" s="434"/>
      <c r="F93" s="201" t="str">
        <f>IF($A$20="","",$H$20)</f>
        <v/>
      </c>
      <c r="G93" s="95"/>
      <c r="H93" s="95"/>
      <c r="V93" t="str">
        <f>IF('_Input Engine'!$A$68="","",'_Input Engine'!$A$68)</f>
        <v>MB8</v>
      </c>
    </row>
    <row r="94" spans="1:22" ht="64.05" customHeight="1">
      <c r="A94" s="200" t="str">
        <f t="shared" si="0"/>
        <v/>
      </c>
      <c r="B94" s="434" t="str">
        <f t="shared" si="1"/>
        <v/>
      </c>
      <c r="C94" s="434"/>
      <c r="D94" s="434"/>
      <c r="E94" s="434"/>
      <c r="F94" s="201" t="str">
        <f>IF($A$21="","",$H$21)</f>
        <v/>
      </c>
      <c r="G94" s="95"/>
      <c r="H94" s="95"/>
      <c r="V94" t="str">
        <f>IF('_Input Engine'!$A$69="","",'_Input Engine'!$A$69)</f>
        <v>MB9</v>
      </c>
    </row>
    <row r="95" spans="1:22" ht="64.05" customHeight="1">
      <c r="A95" s="200" t="str">
        <f t="shared" si="0"/>
        <v/>
      </c>
      <c r="B95" s="434" t="str">
        <f t="shared" si="1"/>
        <v/>
      </c>
      <c r="C95" s="434"/>
      <c r="D95" s="434"/>
      <c r="E95" s="434"/>
      <c r="F95" s="201" t="str">
        <f>IF($A$22="","",$H$22)</f>
        <v/>
      </c>
      <c r="G95" s="95"/>
      <c r="H95" s="95"/>
      <c r="V95" t="str">
        <f>IF('_Input Engine'!$A$70="","",'_Input Engine'!$A$70)</f>
        <v>MB10</v>
      </c>
    </row>
    <row r="96" spans="1:22" ht="64.05" customHeight="1">
      <c r="A96" s="200" t="str">
        <f t="shared" si="0"/>
        <v/>
      </c>
      <c r="B96" s="434" t="str">
        <f t="shared" si="1"/>
        <v/>
      </c>
      <c r="C96" s="434"/>
      <c r="D96" s="434"/>
      <c r="E96" s="434"/>
      <c r="F96" s="201" t="str">
        <f>IF($A$23="","",$H$23)</f>
        <v/>
      </c>
      <c r="G96" s="95"/>
      <c r="H96" s="95"/>
      <c r="V96" t="str">
        <f>IF('_Input Engine'!$A$71="","",'_Input Engine'!$A$71)</f>
        <v>MB11</v>
      </c>
    </row>
    <row r="97" spans="1:22" ht="64.05" customHeight="1">
      <c r="A97" s="200" t="str">
        <f t="shared" si="0"/>
        <v/>
      </c>
      <c r="B97" s="434" t="str">
        <f t="shared" si="1"/>
        <v/>
      </c>
      <c r="C97" s="434"/>
      <c r="D97" s="434"/>
      <c r="E97" s="434"/>
      <c r="F97" s="201" t="str">
        <f>IF($A$24="","",$H$24)</f>
        <v/>
      </c>
      <c r="G97" s="95"/>
      <c r="H97" s="95"/>
      <c r="V97" t="str">
        <f>IF('_Input Engine'!$A$72="","",'_Input Engine'!$A$72)</f>
        <v>MB12</v>
      </c>
    </row>
    <row r="98" spans="1:22" ht="64.05" customHeight="1">
      <c r="A98" s="200" t="str">
        <f t="shared" si="0"/>
        <v/>
      </c>
      <c r="B98" s="434" t="str">
        <f t="shared" si="1"/>
        <v/>
      </c>
      <c r="C98" s="434"/>
      <c r="D98" s="434"/>
      <c r="E98" s="434"/>
      <c r="F98" s="201" t="str">
        <f>IF($A$25="","",$H$25)</f>
        <v/>
      </c>
      <c r="G98" s="95"/>
      <c r="H98" s="95"/>
      <c r="V98" t="str">
        <f>IF('_Input Engine'!$A$73="","",'_Input Engine'!$A$73)</f>
        <v>MB13</v>
      </c>
    </row>
    <row r="99" spans="1:22">
      <c r="V99" t="str">
        <f>IF('_Input Engine'!$A$74="","",'_Input Engine'!$A$74)</f>
        <v>MB14</v>
      </c>
    </row>
    <row r="100" spans="1:22" ht="37.950000000000003" customHeight="1">
      <c r="A100" s="435" t="s">
        <v>120</v>
      </c>
      <c r="B100" s="435"/>
      <c r="C100" s="435"/>
      <c r="D100" s="435"/>
      <c r="E100" s="435"/>
      <c r="F100" s="435"/>
      <c r="G100" s="92"/>
      <c r="H100" s="92"/>
      <c r="V100" t="str">
        <f>IF('_Input Engine'!$A$75="","",'_Input Engine'!$A$75)</f>
        <v>MB15</v>
      </c>
    </row>
    <row r="101" spans="1:22" ht="37.950000000000003" customHeight="1">
      <c r="A101" s="435" t="s">
        <v>1090</v>
      </c>
      <c r="B101" s="435"/>
      <c r="C101" s="435"/>
      <c r="D101" s="435"/>
      <c r="E101" s="435"/>
      <c r="F101" s="435"/>
      <c r="G101" s="92"/>
      <c r="H101" s="92"/>
      <c r="V101" t="str">
        <f>IF('_Input Engine'!$A$76="","",'_Input Engine'!$A$76)</f>
        <v>MB16</v>
      </c>
    </row>
    <row r="102" spans="1:22">
      <c r="V102" t="str">
        <f>IF('_Input Engine'!$A$77="","",'_Input Engine'!$A$77)</f>
        <v>MB17</v>
      </c>
    </row>
    <row r="103" spans="1:22">
      <c r="V103" t="str">
        <f>IF('_Input Engine'!$A$78="","",'_Input Engine'!$A$78)</f>
        <v>MB18</v>
      </c>
    </row>
    <row r="104" spans="1:22">
      <c r="V104" t="str">
        <f>IF('_Input Engine'!$A$79="","",'_Input Engine'!$A$79)</f>
        <v>MB19</v>
      </c>
    </row>
    <row r="105" spans="1:22">
      <c r="V105" t="str">
        <f>IF('_Input Engine'!$A$80="","",'_Input Engine'!$A$80)</f>
        <v>MB20</v>
      </c>
    </row>
    <row r="111" spans="1:22" ht="42" customHeight="1">
      <c r="A111" s="435" t="s">
        <v>1091</v>
      </c>
      <c r="B111" s="435"/>
      <c r="C111" s="435"/>
      <c r="D111" s="435"/>
      <c r="E111" s="435"/>
      <c r="F111" s="435"/>
      <c r="G111" s="92"/>
      <c r="H111" s="92"/>
    </row>
    <row r="112" spans="1:22" ht="43.95" customHeight="1">
      <c r="A112" s="435" t="s">
        <v>121</v>
      </c>
      <c r="B112" s="435"/>
      <c r="C112" s="435"/>
      <c r="D112" s="435"/>
      <c r="E112" s="435"/>
      <c r="F112" s="435"/>
      <c r="G112" s="92"/>
      <c r="H112" s="92"/>
    </row>
    <row r="113" spans="1:8" ht="28.05" customHeight="1">
      <c r="A113" s="435" t="s">
        <v>122</v>
      </c>
      <c r="B113" s="435"/>
      <c r="C113" s="435"/>
      <c r="D113" s="435"/>
      <c r="E113" s="435"/>
      <c r="F113" s="435"/>
      <c r="G113" s="92"/>
      <c r="H113" s="92"/>
    </row>
  </sheetData>
  <mergeCells count="31">
    <mergeCell ref="N4:Q4"/>
    <mergeCell ref="K11:L12"/>
    <mergeCell ref="A77:F77"/>
    <mergeCell ref="A1:H1"/>
    <mergeCell ref="A2:H2"/>
    <mergeCell ref="A4:H4"/>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A101:F101"/>
    <mergeCell ref="A111:F111"/>
    <mergeCell ref="A112:F112"/>
    <mergeCell ref="A113:F113"/>
    <mergeCell ref="B95:E95"/>
    <mergeCell ref="B96:E96"/>
    <mergeCell ref="B97:E97"/>
    <mergeCell ref="B98:E98"/>
    <mergeCell ref="A100:F100"/>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L94"/>
  <sheetViews>
    <sheetView showGridLines="0" workbookViewId="0">
      <selection activeCell="I17" sqref="I17"/>
    </sheetView>
  </sheetViews>
  <sheetFormatPr defaultRowHeight="13.8"/>
  <cols>
    <col min="1" max="1" width="18" customWidth="1"/>
    <col min="2" max="2" width="20" customWidth="1"/>
    <col min="3" max="3" width="14" customWidth="1"/>
    <col min="4" max="4" width="28" customWidth="1"/>
    <col min="5" max="5" width="20" customWidth="1"/>
    <col min="6" max="7" width="18" customWidth="1"/>
    <col min="8" max="8" width="22" customWidth="1"/>
    <col min="9" max="9" width="19" customWidth="1"/>
    <col min="10" max="10" width="26.69921875" customWidth="1"/>
    <col min="11" max="11" width="20.69921875" customWidth="1"/>
    <col min="12" max="12" width="26.69921875" customWidth="1"/>
  </cols>
  <sheetData>
    <row r="1" spans="1:12" ht="25.95" customHeight="1">
      <c r="A1" s="439" t="s">
        <v>83</v>
      </c>
      <c r="B1" s="439"/>
      <c r="C1" s="439"/>
      <c r="D1" s="439"/>
      <c r="E1" s="439"/>
      <c r="F1" s="439"/>
      <c r="G1" s="439"/>
      <c r="H1" s="439"/>
      <c r="I1" s="440"/>
    </row>
    <row r="2" spans="1:12" ht="31.95" customHeight="1">
      <c r="A2" s="441" t="s">
        <v>1115</v>
      </c>
      <c r="B2" s="441"/>
      <c r="C2" s="441"/>
      <c r="D2" s="441"/>
      <c r="E2" s="441"/>
      <c r="F2" s="441"/>
      <c r="G2" s="441"/>
      <c r="H2" s="441"/>
      <c r="I2" s="404"/>
    </row>
    <row r="3" spans="1:12">
      <c r="A3" s="1"/>
      <c r="B3" s="1"/>
      <c r="C3" s="1"/>
      <c r="D3" s="1"/>
      <c r="E3" s="1"/>
      <c r="F3" s="1"/>
      <c r="G3" s="1"/>
      <c r="H3" s="1"/>
    </row>
    <row r="4" spans="1:12" ht="24" customHeight="1">
      <c r="A4" s="209" t="s">
        <v>84</v>
      </c>
      <c r="B4" s="23" t="s">
        <v>85</v>
      </c>
      <c r="C4" s="22"/>
      <c r="D4" s="209" t="s">
        <v>86</v>
      </c>
      <c r="E4" s="204">
        <f>IF(OR($B$5="",$B$6=""),"",$B$5*$B$6)</f>
        <v>810000</v>
      </c>
      <c r="F4" s="1"/>
      <c r="G4" s="1"/>
      <c r="H4" s="1"/>
    </row>
    <row r="5" spans="1:12" ht="24" customHeight="1">
      <c r="A5" s="210" t="s">
        <v>123</v>
      </c>
      <c r="B5" s="203">
        <f>IF(OR($E$38="",$E$38&lt;=0,$B$7="",$B$7&lt;=0,$B$8="",$B$8&lt;=0,$B$9="",$B$9&lt;=0,$B$9&gt;=100),"",ROUNDUP(SQRT($E$38*1000/(0.35*$B$7*(1-$B$9/100)+0.67*$B$8*($B$9/100)))/100,0)*100)</f>
        <v>900</v>
      </c>
      <c r="C5" s="22"/>
      <c r="D5" s="209" t="s">
        <v>87</v>
      </c>
      <c r="E5" s="204">
        <f>IF(OR($E$4="",$B$9=""),"",$E$4*$B$9/100)</f>
        <v>20250</v>
      </c>
      <c r="F5" s="1"/>
      <c r="G5" s="1"/>
      <c r="H5" s="1"/>
    </row>
    <row r="6" spans="1:12" ht="24" customHeight="1">
      <c r="A6" s="210" t="s">
        <v>124</v>
      </c>
      <c r="B6" s="203">
        <f>IF($B$5="","",$B$5)</f>
        <v>900</v>
      </c>
      <c r="C6" s="22"/>
      <c r="D6" s="209" t="s">
        <v>88</v>
      </c>
      <c r="E6" s="204">
        <f>IF(OR($E$4="",$E$5=""),"",$E$4-$E$5)</f>
        <v>789750</v>
      </c>
      <c r="F6" s="1"/>
      <c r="G6" s="1"/>
      <c r="H6" s="1"/>
    </row>
    <row r="7" spans="1:12" ht="37.950000000000003" customHeight="1">
      <c r="A7" s="209" t="s">
        <v>89</v>
      </c>
      <c r="B7" s="343">
        <f>IF(Input!C4="","",Input!C4)</f>
        <v>60</v>
      </c>
      <c r="C7" s="22"/>
      <c r="D7" s="209" t="s">
        <v>90</v>
      </c>
      <c r="E7" s="211" t="s">
        <v>91</v>
      </c>
      <c r="F7" s="1"/>
      <c r="G7" s="1"/>
      <c r="H7" s="1"/>
    </row>
    <row r="8" spans="1:12" ht="37.950000000000003" customHeight="1">
      <c r="A8" s="209" t="s">
        <v>92</v>
      </c>
      <c r="B8" s="213">
        <v>500</v>
      </c>
      <c r="C8" s="22"/>
      <c r="D8" s="209" t="s">
        <v>93</v>
      </c>
      <c r="E8" s="211" t="s">
        <v>94</v>
      </c>
      <c r="F8" s="1"/>
      <c r="G8" s="1"/>
      <c r="H8" s="1"/>
    </row>
    <row r="9" spans="1:12" ht="24" customHeight="1">
      <c r="A9" s="209" t="s">
        <v>95</v>
      </c>
      <c r="B9" s="214">
        <v>2.5</v>
      </c>
      <c r="C9" s="22"/>
      <c r="D9" s="22"/>
      <c r="E9" s="22"/>
      <c r="F9" s="1"/>
      <c r="G9" s="1"/>
      <c r="H9" s="1"/>
    </row>
    <row r="10" spans="1:12" ht="24" customHeight="1">
      <c r="A10" s="209" t="s">
        <v>96</v>
      </c>
      <c r="B10" s="215">
        <v>1.25</v>
      </c>
      <c r="C10" s="22"/>
      <c r="D10" s="22"/>
      <c r="E10" s="22"/>
      <c r="F10" s="1"/>
      <c r="G10" s="1"/>
      <c r="H10" s="1"/>
    </row>
    <row r="11" spans="1:12" ht="24" customHeight="1">
      <c r="A11" s="209" t="s">
        <v>97</v>
      </c>
      <c r="B11" s="214">
        <v>1.4</v>
      </c>
      <c r="C11" s="22"/>
      <c r="D11" s="22"/>
      <c r="E11" s="22"/>
      <c r="F11" s="1"/>
      <c r="G11" s="1"/>
      <c r="H11" s="1"/>
    </row>
    <row r="12" spans="1:12" ht="24" customHeight="1">
      <c r="A12" s="209" t="s">
        <v>98</v>
      </c>
      <c r="B12" s="214">
        <v>1.6</v>
      </c>
      <c r="C12" s="22"/>
      <c r="D12" s="22"/>
      <c r="E12" s="22"/>
      <c r="F12" s="1"/>
      <c r="G12" s="1"/>
      <c r="H12" s="1"/>
    </row>
    <row r="13" spans="1:12" ht="15" customHeight="1">
      <c r="A13" s="1"/>
      <c r="B13" s="1"/>
      <c r="C13" s="1"/>
      <c r="D13" s="1"/>
      <c r="E13" s="1"/>
      <c r="F13" s="1"/>
      <c r="G13" s="1"/>
      <c r="H13" s="1"/>
    </row>
    <row r="14" spans="1:12" ht="24" customHeight="1">
      <c r="A14" s="443" t="s">
        <v>125</v>
      </c>
      <c r="B14" s="444"/>
      <c r="C14" s="444"/>
      <c r="D14" s="444"/>
      <c r="E14" s="444"/>
      <c r="F14" s="444"/>
      <c r="G14" s="444"/>
      <c r="H14" s="444"/>
      <c r="I14" s="444"/>
      <c r="J14" s="444"/>
      <c r="K14" s="444"/>
      <c r="L14" s="444"/>
    </row>
    <row r="15" spans="1:12" ht="48" customHeight="1">
      <c r="A15" s="17" t="s">
        <v>126</v>
      </c>
      <c r="B15" s="17" t="s">
        <v>127</v>
      </c>
      <c r="C15" s="17" t="s">
        <v>128</v>
      </c>
      <c r="D15" s="17" t="s">
        <v>196</v>
      </c>
      <c r="E15" s="17" t="s">
        <v>129</v>
      </c>
      <c r="F15" s="17" t="s">
        <v>198</v>
      </c>
      <c r="G15" s="17" t="s">
        <v>199</v>
      </c>
      <c r="H15" s="17" t="s">
        <v>130</v>
      </c>
      <c r="I15" s="17" t="s">
        <v>131</v>
      </c>
      <c r="J15" s="17" t="s">
        <v>132</v>
      </c>
      <c r="K15" s="17" t="s">
        <v>133</v>
      </c>
      <c r="L15" s="17" t="s">
        <v>106</v>
      </c>
    </row>
    <row r="16" spans="1:12" ht="28.05" customHeight="1">
      <c r="A16" s="353" t="str">
        <f>IF('_Input Engine'!A181="","",'_Input Engine'!A181)</f>
        <v>R/F</v>
      </c>
      <c r="B16" s="353" t="str">
        <f>IF('_Input Engine'!B181="","",'_Input Engine'!B181)</f>
        <v>Roof</v>
      </c>
      <c r="C16" s="354">
        <f>IF('_Input Engine'!C181="","",'_Input Engine'!C181)</f>
        <v>10</v>
      </c>
      <c r="D16" s="354">
        <f>IF('_Input Engine'!D181="","",'_Input Engine'!D181)</f>
        <v>0</v>
      </c>
      <c r="E16" s="355">
        <f>IF('_Input Engine'!E181="","",'_Input Engine'!E181)</f>
        <v>2</v>
      </c>
      <c r="F16" s="356">
        <f>IF('_Input Engine'!J181="","",'_Input Engine'!J181)</f>
        <v>10</v>
      </c>
      <c r="G16" s="356">
        <f>IF('_Input Engine'!K181="","",'_Input Engine'!K181)</f>
        <v>10</v>
      </c>
      <c r="H16" s="356">
        <f t="shared" ref="H16:H35" si="0">IF(OR(F16="",G16=""),"",F16*G16)</f>
        <v>100</v>
      </c>
      <c r="I16" s="357">
        <f>IF('_Input Engine'!M181="","",'_Input Engine'!M181)</f>
        <v>10</v>
      </c>
      <c r="J16" s="358">
        <f>IF('_Input Engine'!N181="","",'_Input Engine'!N181)</f>
        <v>17200</v>
      </c>
      <c r="K16" s="359" t="str">
        <f>IF($B16="","",IFERROR(INDEX('Imposed Load'!$B$16:$B$68,MATCH($B16,'Imposed Load'!$A$16:$A$68,0)),""))</f>
        <v>LL-2.0</v>
      </c>
      <c r="L16" s="359" t="str">
        <f>'_Input Engine'!P181</f>
        <v>Ready</v>
      </c>
    </row>
    <row r="17" spans="1:12" ht="28.05" customHeight="1">
      <c r="A17" s="353" t="str">
        <f>IF('_Input Engine'!A182="","",'_Input Engine'!A182)</f>
        <v>6/F</v>
      </c>
      <c r="B17" s="353" t="str">
        <f>IF('_Input Engine'!B182="","",'_Input Engine'!B182)</f>
        <v>E&amp;M</v>
      </c>
      <c r="C17" s="354">
        <f>IF('_Input Engine'!C182="","",'_Input Engine'!C182)</f>
        <v>10</v>
      </c>
      <c r="D17" s="354">
        <f>IF('_Input Engine'!D182="","",'_Input Engine'!D182)</f>
        <v>0</v>
      </c>
      <c r="E17" s="355">
        <f>IF('_Input Engine'!E182="","",'_Input Engine'!E182)</f>
        <v>7.5</v>
      </c>
      <c r="F17" s="356" t="str">
        <f>IF('_Input Engine'!J182="","",'_Input Engine'!J182)</f>
        <v/>
      </c>
      <c r="G17" s="356" t="str">
        <f>IF('_Input Engine'!K182="","",'_Input Engine'!K182)</f>
        <v/>
      </c>
      <c r="H17" s="356" t="str">
        <f t="shared" si="0"/>
        <v/>
      </c>
      <c r="I17" s="357">
        <f>IF('_Input Engine'!M182="","",'_Input Engine'!M182)</f>
        <v>1</v>
      </c>
      <c r="J17" s="358" t="str">
        <f>IF('_Input Engine'!N182="","",'_Input Engine'!N182)</f>
        <v/>
      </c>
      <c r="K17" s="359" t="str">
        <f>IF($B17="","",IFERROR(INDEX('Imposed Load'!$B$16:$B$68,MATCH($B17,'Imposed Load'!$A$16:$A$68,0)),""))</f>
        <v>LL-7.5</v>
      </c>
      <c r="L17" s="359" t="str">
        <f>'_Input Engine'!P182</f>
        <v>ENTER B AND D</v>
      </c>
    </row>
    <row r="18" spans="1:12" ht="28.05" customHeight="1">
      <c r="A18" s="353" t="str">
        <f>IF('_Input Engine'!A183="","",'_Input Engine'!A183)</f>
        <v>5/F</v>
      </c>
      <c r="B18" s="353" t="str">
        <f>IF('_Input Engine'!B183="","",'_Input Engine'!B183)</f>
        <v>Office</v>
      </c>
      <c r="C18" s="354">
        <f>IF('_Input Engine'!C183="","",'_Input Engine'!C183)</f>
        <v>10</v>
      </c>
      <c r="D18" s="354">
        <f>IF('_Input Engine'!D183="","",'_Input Engine'!D183)</f>
        <v>0</v>
      </c>
      <c r="E18" s="355">
        <f>IF('_Input Engine'!E183="","",'_Input Engine'!E183)</f>
        <v>3</v>
      </c>
      <c r="F18" s="356" t="str">
        <f>IF('_Input Engine'!J183="","",'_Input Engine'!J183)</f>
        <v/>
      </c>
      <c r="G18" s="356" t="str">
        <f>IF('_Input Engine'!K183="","",'_Input Engine'!K183)</f>
        <v/>
      </c>
      <c r="H18" s="356" t="str">
        <f t="shared" si="0"/>
        <v/>
      </c>
      <c r="I18" s="357">
        <f>IF('_Input Engine'!M183="","",'_Input Engine'!M183)</f>
        <v>1</v>
      </c>
      <c r="J18" s="358" t="str">
        <f>IF('_Input Engine'!N183="","",'_Input Engine'!N183)</f>
        <v/>
      </c>
      <c r="K18" s="359" t="str">
        <f>IF($B18="","",IFERROR(INDEX('Imposed Load'!$B$16:$B$68,MATCH($B18,'Imposed Load'!$A$16:$A$68,0)),""))</f>
        <v>LL-3.0</v>
      </c>
      <c r="L18" s="359" t="str">
        <f>'_Input Engine'!P183</f>
        <v>ENTER B AND D</v>
      </c>
    </row>
    <row r="19" spans="1:12" ht="28.05" customHeight="1">
      <c r="A19" s="353" t="str">
        <f>IF('_Input Engine'!A184="","",'_Input Engine'!A184)</f>
        <v>1/F–4/F</v>
      </c>
      <c r="B19" s="353" t="str">
        <f>IF('_Input Engine'!B184="","",'_Input Engine'!B184)</f>
        <v>Shop</v>
      </c>
      <c r="C19" s="354">
        <f>IF('_Input Engine'!C184="","",'_Input Engine'!C184)</f>
        <v>10</v>
      </c>
      <c r="D19" s="354">
        <f>IF('_Input Engine'!D184="","",'_Input Engine'!D184)</f>
        <v>0</v>
      </c>
      <c r="E19" s="355">
        <f>IF('_Input Engine'!E184="","",'_Input Engine'!E184)</f>
        <v>5</v>
      </c>
      <c r="F19" s="356" t="str">
        <f>IF('_Input Engine'!J184="","",'_Input Engine'!J184)</f>
        <v/>
      </c>
      <c r="G19" s="356" t="str">
        <f>IF('_Input Engine'!K184="","",'_Input Engine'!K184)</f>
        <v/>
      </c>
      <c r="H19" s="356" t="str">
        <f t="shared" si="0"/>
        <v/>
      </c>
      <c r="I19" s="357">
        <f>IF('_Input Engine'!M184="","",'_Input Engine'!M184)</f>
        <v>4</v>
      </c>
      <c r="J19" s="358" t="str">
        <f>IF('_Input Engine'!N184="","",'_Input Engine'!N184)</f>
        <v/>
      </c>
      <c r="K19" s="359" t="str">
        <f>IF($B19="","",IFERROR(INDEX('Imposed Load'!$B$16:$B$68,MATCH($B19,'Imposed Load'!$A$16:$A$68,0)),""))</f>
        <v>LL-5.0</v>
      </c>
      <c r="L19" s="359" t="str">
        <f>'_Input Engine'!P184</f>
        <v>ENTER B AND D</v>
      </c>
    </row>
    <row r="20" spans="1:12" ht="28.05" customHeight="1">
      <c r="A20" s="353" t="str">
        <f>IF('_Input Engine'!A185="","",'_Input Engine'!A185)</f>
        <v>G/F</v>
      </c>
      <c r="B20" s="353" t="str">
        <f>IF('_Input Engine'!B185="","",'_Input Engine'!B185)</f>
        <v>Shop</v>
      </c>
      <c r="C20" s="354">
        <f>IF('_Input Engine'!C185="","",'_Input Engine'!C185)</f>
        <v>10</v>
      </c>
      <c r="D20" s="354">
        <f>IF('_Input Engine'!D185="","",'_Input Engine'!D185)</f>
        <v>0</v>
      </c>
      <c r="E20" s="355">
        <f>IF('_Input Engine'!E185="","",'_Input Engine'!E185)</f>
        <v>5</v>
      </c>
      <c r="F20" s="356" t="str">
        <f>IF('_Input Engine'!J185="","",'_Input Engine'!J185)</f>
        <v/>
      </c>
      <c r="G20" s="356" t="str">
        <f>IF('_Input Engine'!K185="","",'_Input Engine'!K185)</f>
        <v/>
      </c>
      <c r="H20" s="356" t="str">
        <f t="shared" si="0"/>
        <v/>
      </c>
      <c r="I20" s="357">
        <f>IF('_Input Engine'!M185="","",'_Input Engine'!M185)</f>
        <v>1</v>
      </c>
      <c r="J20" s="358" t="str">
        <f>IF('_Input Engine'!N185="","",'_Input Engine'!N185)</f>
        <v/>
      </c>
      <c r="K20" s="359" t="str">
        <f>IF($B20="","",IFERROR(INDEX('Imposed Load'!$B$16:$B$68,MATCH($B20,'Imposed Load'!$A$16:$A$68,0)),""))</f>
        <v>LL-5.0</v>
      </c>
      <c r="L20" s="359" t="str">
        <f>'_Input Engine'!P185</f>
        <v>ENTER B AND D</v>
      </c>
    </row>
    <row r="21" spans="1:12" ht="28.05" customHeight="1">
      <c r="A21" s="353" t="str">
        <f>IF('_Input Engine'!A186="","",'_Input Engine'!A186)</f>
        <v>B1/F–B2/F</v>
      </c>
      <c r="B21" s="353" t="str">
        <f>IF('_Input Engine'!B186="","",'_Input Engine'!B186)</f>
        <v>Car Park</v>
      </c>
      <c r="C21" s="354">
        <f>IF('_Input Engine'!C186="","",'_Input Engine'!C186)</f>
        <v>10</v>
      </c>
      <c r="D21" s="354">
        <f>IF('_Input Engine'!D186="","",'_Input Engine'!D186)</f>
        <v>0</v>
      </c>
      <c r="E21" s="355">
        <f>IF('_Input Engine'!E186="","",'_Input Engine'!E186)</f>
        <v>3</v>
      </c>
      <c r="F21" s="356" t="str">
        <f>IF('_Input Engine'!J186="","",'_Input Engine'!J186)</f>
        <v/>
      </c>
      <c r="G21" s="356" t="str">
        <f>IF('_Input Engine'!K186="","",'_Input Engine'!K186)</f>
        <v/>
      </c>
      <c r="H21" s="356" t="str">
        <f t="shared" si="0"/>
        <v/>
      </c>
      <c r="I21" s="357">
        <f>IF('_Input Engine'!M186="","",'_Input Engine'!M186)</f>
        <v>2</v>
      </c>
      <c r="J21" s="358" t="str">
        <f>IF('_Input Engine'!N186="","",'_Input Engine'!N186)</f>
        <v/>
      </c>
      <c r="K21" s="359" t="str">
        <f>IF($B21="","",IFERROR(INDEX('Imposed Load'!$B$16:$B$68,MATCH($B21,'Imposed Load'!$A$16:$A$68,0)),""))</f>
        <v>LL-3.0</v>
      </c>
      <c r="L21" s="359" t="str">
        <f>'_Input Engine'!P186</f>
        <v>ENTER B AND D</v>
      </c>
    </row>
    <row r="22" spans="1:12" ht="28.05" customHeight="1">
      <c r="A22" s="353" t="str">
        <f>IF('_Input Engine'!A187="","",'_Input Engine'!A187)</f>
        <v/>
      </c>
      <c r="B22" s="353" t="str">
        <f>IF('_Input Engine'!B187="","",'_Input Engine'!B187)</f>
        <v/>
      </c>
      <c r="C22" s="354">
        <f>IF('_Input Engine'!C187="","",'_Input Engine'!C187)</f>
        <v>10</v>
      </c>
      <c r="D22" s="354">
        <f>IF('_Input Engine'!D187="","",'_Input Engine'!D187)</f>
        <v>0</v>
      </c>
      <c r="E22" s="355" t="str">
        <f>IF('_Input Engine'!E187="","",'_Input Engine'!E187)</f>
        <v/>
      </c>
      <c r="F22" s="356" t="str">
        <f>IF('_Input Engine'!J187="","",'_Input Engine'!J187)</f>
        <v/>
      </c>
      <c r="G22" s="356" t="str">
        <f>IF('_Input Engine'!K187="","",'_Input Engine'!K187)</f>
        <v/>
      </c>
      <c r="H22" s="356" t="str">
        <f t="shared" si="0"/>
        <v/>
      </c>
      <c r="I22" s="357">
        <f>IF('_Input Engine'!M187="","",'_Input Engine'!M187)</f>
        <v>1</v>
      </c>
      <c r="J22" s="358" t="str">
        <f>IF('_Input Engine'!N187="","",'_Input Engine'!N187)</f>
        <v/>
      </c>
      <c r="K22" s="359" t="str">
        <f>IF($B22="","",IFERROR(INDEX('Imposed Load'!$B$16:$B$68,MATCH($B22,'Imposed Load'!$A$16:$A$68,0)),""))</f>
        <v/>
      </c>
      <c r="L22" s="359" t="str">
        <f>'_Input Engine'!P187</f>
        <v/>
      </c>
    </row>
    <row r="23" spans="1:12" ht="28.05" customHeight="1">
      <c r="A23" s="353" t="str">
        <f>IF('_Input Engine'!A188="","",'_Input Engine'!A188)</f>
        <v/>
      </c>
      <c r="B23" s="353" t="str">
        <f>IF('_Input Engine'!B188="","",'_Input Engine'!B188)</f>
        <v/>
      </c>
      <c r="C23" s="354">
        <f>IF('_Input Engine'!C188="","",'_Input Engine'!C188)</f>
        <v>10</v>
      </c>
      <c r="D23" s="354">
        <f>IF('_Input Engine'!D188="","",'_Input Engine'!D188)</f>
        <v>0</v>
      </c>
      <c r="E23" s="355" t="str">
        <f>IF('_Input Engine'!E188="","",'_Input Engine'!E188)</f>
        <v/>
      </c>
      <c r="F23" s="356" t="str">
        <f>IF('_Input Engine'!J188="","",'_Input Engine'!J188)</f>
        <v/>
      </c>
      <c r="G23" s="356" t="str">
        <f>IF('_Input Engine'!K188="","",'_Input Engine'!K188)</f>
        <v/>
      </c>
      <c r="H23" s="356" t="str">
        <f t="shared" si="0"/>
        <v/>
      </c>
      <c r="I23" s="357">
        <f>IF('_Input Engine'!M188="","",'_Input Engine'!M188)</f>
        <v>1</v>
      </c>
      <c r="J23" s="358" t="str">
        <f>IF('_Input Engine'!N188="","",'_Input Engine'!N188)</f>
        <v/>
      </c>
      <c r="K23" s="359" t="str">
        <f>IF($B23="","",IFERROR(INDEX('Imposed Load'!$B$16:$B$68,MATCH($B23,'Imposed Load'!$A$16:$A$68,0)),""))</f>
        <v/>
      </c>
      <c r="L23" s="359" t="str">
        <f>'_Input Engine'!P188</f>
        <v/>
      </c>
    </row>
    <row r="24" spans="1:12" ht="28.05" customHeight="1">
      <c r="A24" s="353" t="str">
        <f>IF('_Input Engine'!A189="","",'_Input Engine'!A189)</f>
        <v/>
      </c>
      <c r="B24" s="353" t="str">
        <f>IF('_Input Engine'!B189="","",'_Input Engine'!B189)</f>
        <v/>
      </c>
      <c r="C24" s="354">
        <f>IF('_Input Engine'!C189="","",'_Input Engine'!C189)</f>
        <v>10</v>
      </c>
      <c r="D24" s="354">
        <f>IF('_Input Engine'!D189="","",'_Input Engine'!D189)</f>
        <v>0</v>
      </c>
      <c r="E24" s="355" t="str">
        <f>IF('_Input Engine'!E189="","",'_Input Engine'!E189)</f>
        <v/>
      </c>
      <c r="F24" s="356" t="str">
        <f>IF('_Input Engine'!J189="","",'_Input Engine'!J189)</f>
        <v/>
      </c>
      <c r="G24" s="356" t="str">
        <f>IF('_Input Engine'!K189="","",'_Input Engine'!K189)</f>
        <v/>
      </c>
      <c r="H24" s="356" t="str">
        <f t="shared" si="0"/>
        <v/>
      </c>
      <c r="I24" s="357">
        <f>IF('_Input Engine'!M189="","",'_Input Engine'!M189)</f>
        <v>1</v>
      </c>
      <c r="J24" s="358" t="str">
        <f>IF('_Input Engine'!N189="","",'_Input Engine'!N189)</f>
        <v/>
      </c>
      <c r="K24" s="359" t="str">
        <f>IF($B24="","",IFERROR(INDEX('Imposed Load'!$B$16:$B$68,MATCH($B24,'Imposed Load'!$A$16:$A$68,0)),""))</f>
        <v/>
      </c>
      <c r="L24" s="359" t="str">
        <f>'_Input Engine'!P189</f>
        <v/>
      </c>
    </row>
    <row r="25" spans="1:12" ht="28.05" customHeight="1">
      <c r="A25" s="353" t="str">
        <f>IF('_Input Engine'!A190="","",'_Input Engine'!A190)</f>
        <v/>
      </c>
      <c r="B25" s="353" t="str">
        <f>IF('_Input Engine'!B190="","",'_Input Engine'!B190)</f>
        <v/>
      </c>
      <c r="C25" s="354">
        <f>IF('_Input Engine'!C190="","",'_Input Engine'!C190)</f>
        <v>10</v>
      </c>
      <c r="D25" s="354">
        <f>IF('_Input Engine'!D190="","",'_Input Engine'!D190)</f>
        <v>0</v>
      </c>
      <c r="E25" s="355" t="str">
        <f>IF('_Input Engine'!E190="","",'_Input Engine'!E190)</f>
        <v/>
      </c>
      <c r="F25" s="356" t="str">
        <f>IF('_Input Engine'!J190="","",'_Input Engine'!J190)</f>
        <v/>
      </c>
      <c r="G25" s="356" t="str">
        <f>IF('_Input Engine'!K190="","",'_Input Engine'!K190)</f>
        <v/>
      </c>
      <c r="H25" s="356" t="str">
        <f t="shared" si="0"/>
        <v/>
      </c>
      <c r="I25" s="357">
        <f>IF('_Input Engine'!M190="","",'_Input Engine'!M190)</f>
        <v>1</v>
      </c>
      <c r="J25" s="358" t="str">
        <f>IF('_Input Engine'!N190="","",'_Input Engine'!N190)</f>
        <v/>
      </c>
      <c r="K25" s="359" t="str">
        <f>IF($B25="","",IFERROR(INDEX('Imposed Load'!$B$16:$B$68,MATCH($B25,'Imposed Load'!$A$16:$A$68,0)),""))</f>
        <v/>
      </c>
      <c r="L25" s="359" t="str">
        <f>'_Input Engine'!P190</f>
        <v/>
      </c>
    </row>
    <row r="26" spans="1:12" ht="28.05" customHeight="1">
      <c r="A26" s="353" t="str">
        <f>IF('_Input Engine'!A191="","",'_Input Engine'!A191)</f>
        <v/>
      </c>
      <c r="B26" s="353" t="str">
        <f>IF('_Input Engine'!B191="","",'_Input Engine'!B191)</f>
        <v/>
      </c>
      <c r="C26" s="354">
        <f>IF('_Input Engine'!C191="","",'_Input Engine'!C191)</f>
        <v>10</v>
      </c>
      <c r="D26" s="354">
        <f>IF('_Input Engine'!D191="","",'_Input Engine'!D191)</f>
        <v>0</v>
      </c>
      <c r="E26" s="355" t="str">
        <f>IF('_Input Engine'!E191="","",'_Input Engine'!E191)</f>
        <v/>
      </c>
      <c r="F26" s="356" t="str">
        <f>IF('_Input Engine'!J191="","",'_Input Engine'!J191)</f>
        <v/>
      </c>
      <c r="G26" s="356" t="str">
        <f>IF('_Input Engine'!K191="","",'_Input Engine'!K191)</f>
        <v/>
      </c>
      <c r="H26" s="356" t="str">
        <f t="shared" si="0"/>
        <v/>
      </c>
      <c r="I26" s="357">
        <f>IF('_Input Engine'!M191="","",'_Input Engine'!M191)</f>
        <v>1</v>
      </c>
      <c r="J26" s="358" t="str">
        <f>IF('_Input Engine'!N191="","",'_Input Engine'!N191)</f>
        <v/>
      </c>
      <c r="K26" s="359" t="str">
        <f>IF($B26="","",IFERROR(INDEX('Imposed Load'!$B$16:$B$68,MATCH($B26,'Imposed Load'!$A$16:$A$68,0)),""))</f>
        <v/>
      </c>
      <c r="L26" s="359" t="str">
        <f>'_Input Engine'!P191</f>
        <v/>
      </c>
    </row>
    <row r="27" spans="1:12" ht="28.05" customHeight="1">
      <c r="A27" s="353" t="str">
        <f>IF('_Input Engine'!A192="","",'_Input Engine'!A192)</f>
        <v/>
      </c>
      <c r="B27" s="353" t="str">
        <f>IF('_Input Engine'!B192="","",'_Input Engine'!B192)</f>
        <v/>
      </c>
      <c r="C27" s="354">
        <f>IF('_Input Engine'!C192="","",'_Input Engine'!C192)</f>
        <v>10</v>
      </c>
      <c r="D27" s="354">
        <f>IF('_Input Engine'!D192="","",'_Input Engine'!D192)</f>
        <v>0</v>
      </c>
      <c r="E27" s="355" t="str">
        <f>IF('_Input Engine'!E192="","",'_Input Engine'!E192)</f>
        <v/>
      </c>
      <c r="F27" s="356" t="str">
        <f>IF('_Input Engine'!J192="","",'_Input Engine'!J192)</f>
        <v/>
      </c>
      <c r="G27" s="356" t="str">
        <f>IF('_Input Engine'!K192="","",'_Input Engine'!K192)</f>
        <v/>
      </c>
      <c r="H27" s="356" t="str">
        <f t="shared" si="0"/>
        <v/>
      </c>
      <c r="I27" s="357">
        <f>IF('_Input Engine'!M192="","",'_Input Engine'!M192)</f>
        <v>1</v>
      </c>
      <c r="J27" s="358" t="str">
        <f>IF('_Input Engine'!N192="","",'_Input Engine'!N192)</f>
        <v/>
      </c>
      <c r="K27" s="359" t="str">
        <f>IF($B27="","",IFERROR(INDEX('Imposed Load'!$B$16:$B$68,MATCH($B27,'Imposed Load'!$A$16:$A$68,0)),""))</f>
        <v/>
      </c>
      <c r="L27" s="359" t="str">
        <f>'_Input Engine'!P192</f>
        <v/>
      </c>
    </row>
    <row r="28" spans="1:12" ht="28.05" customHeight="1">
      <c r="A28" s="353" t="str">
        <f>IF('_Input Engine'!A193="","",'_Input Engine'!A193)</f>
        <v/>
      </c>
      <c r="B28" s="353" t="str">
        <f>IF('_Input Engine'!B193="","",'_Input Engine'!B193)</f>
        <v/>
      </c>
      <c r="C28" s="354">
        <f>IF('_Input Engine'!C193="","",'_Input Engine'!C193)</f>
        <v>10</v>
      </c>
      <c r="D28" s="354">
        <f>IF('_Input Engine'!D193="","",'_Input Engine'!D193)</f>
        <v>0</v>
      </c>
      <c r="E28" s="355" t="str">
        <f>IF('_Input Engine'!E193="","",'_Input Engine'!E193)</f>
        <v/>
      </c>
      <c r="F28" s="356" t="str">
        <f>IF('_Input Engine'!J193="","",'_Input Engine'!J193)</f>
        <v/>
      </c>
      <c r="G28" s="356" t="str">
        <f>IF('_Input Engine'!K193="","",'_Input Engine'!K193)</f>
        <v/>
      </c>
      <c r="H28" s="356" t="str">
        <f t="shared" si="0"/>
        <v/>
      </c>
      <c r="I28" s="357">
        <f>IF('_Input Engine'!M193="","",'_Input Engine'!M193)</f>
        <v>1</v>
      </c>
      <c r="J28" s="358" t="str">
        <f>IF('_Input Engine'!N193="","",'_Input Engine'!N193)</f>
        <v/>
      </c>
      <c r="K28" s="359" t="str">
        <f>IF($B28="","",IFERROR(INDEX('Imposed Load'!$B$16:$B$68,MATCH($B28,'Imposed Load'!$A$16:$A$68,0)),""))</f>
        <v/>
      </c>
      <c r="L28" s="359" t="str">
        <f>'_Input Engine'!P193</f>
        <v/>
      </c>
    </row>
    <row r="29" spans="1:12" ht="28.05" customHeight="1">
      <c r="A29" s="353" t="str">
        <f>IF('_Input Engine'!A194="","",'_Input Engine'!A194)</f>
        <v/>
      </c>
      <c r="B29" s="353" t="str">
        <f>IF('_Input Engine'!B194="","",'_Input Engine'!B194)</f>
        <v/>
      </c>
      <c r="C29" s="354">
        <f>IF('_Input Engine'!C194="","",'_Input Engine'!C194)</f>
        <v>10</v>
      </c>
      <c r="D29" s="354">
        <f>IF('_Input Engine'!D194="","",'_Input Engine'!D194)</f>
        <v>0</v>
      </c>
      <c r="E29" s="355" t="str">
        <f>IF('_Input Engine'!E194="","",'_Input Engine'!E194)</f>
        <v/>
      </c>
      <c r="F29" s="356" t="str">
        <f>IF('_Input Engine'!J194="","",'_Input Engine'!J194)</f>
        <v/>
      </c>
      <c r="G29" s="356" t="str">
        <f>IF('_Input Engine'!K194="","",'_Input Engine'!K194)</f>
        <v/>
      </c>
      <c r="H29" s="356" t="str">
        <f t="shared" si="0"/>
        <v/>
      </c>
      <c r="I29" s="357">
        <f>IF('_Input Engine'!M194="","",'_Input Engine'!M194)</f>
        <v>1</v>
      </c>
      <c r="J29" s="358" t="str">
        <f>IF('_Input Engine'!N194="","",'_Input Engine'!N194)</f>
        <v/>
      </c>
      <c r="K29" s="359" t="str">
        <f>IF($B29="","",IFERROR(INDEX('Imposed Load'!$B$16:$B$68,MATCH($B29,'Imposed Load'!$A$16:$A$68,0)),""))</f>
        <v/>
      </c>
      <c r="L29" s="359" t="str">
        <f>'_Input Engine'!P194</f>
        <v/>
      </c>
    </row>
    <row r="30" spans="1:12" ht="28.05" customHeight="1">
      <c r="A30" s="353" t="str">
        <f>IF('_Input Engine'!A195="","",'_Input Engine'!A195)</f>
        <v/>
      </c>
      <c r="B30" s="353" t="str">
        <f>IF('_Input Engine'!B195="","",'_Input Engine'!B195)</f>
        <v/>
      </c>
      <c r="C30" s="354">
        <f>IF('_Input Engine'!C195="","",'_Input Engine'!C195)</f>
        <v>10</v>
      </c>
      <c r="D30" s="354">
        <f>IF('_Input Engine'!D195="","",'_Input Engine'!D195)</f>
        <v>0</v>
      </c>
      <c r="E30" s="355" t="str">
        <f>IF('_Input Engine'!E195="","",'_Input Engine'!E195)</f>
        <v/>
      </c>
      <c r="F30" s="356" t="str">
        <f>IF('_Input Engine'!J195="","",'_Input Engine'!J195)</f>
        <v/>
      </c>
      <c r="G30" s="356" t="str">
        <f>IF('_Input Engine'!K195="","",'_Input Engine'!K195)</f>
        <v/>
      </c>
      <c r="H30" s="356" t="str">
        <f t="shared" si="0"/>
        <v/>
      </c>
      <c r="I30" s="357">
        <f>IF('_Input Engine'!M195="","",'_Input Engine'!M195)</f>
        <v>1</v>
      </c>
      <c r="J30" s="358" t="str">
        <f>IF('_Input Engine'!N195="","",'_Input Engine'!N195)</f>
        <v/>
      </c>
      <c r="K30" s="359" t="str">
        <f>IF($B30="","",IFERROR(INDEX('Imposed Load'!$B$16:$B$68,MATCH($B30,'Imposed Load'!$A$16:$A$68,0)),""))</f>
        <v/>
      </c>
      <c r="L30" s="359" t="str">
        <f>'_Input Engine'!P195</f>
        <v/>
      </c>
    </row>
    <row r="31" spans="1:12" ht="28.05" customHeight="1">
      <c r="A31" s="353" t="str">
        <f>IF('_Input Engine'!A196="","",'_Input Engine'!A196)</f>
        <v/>
      </c>
      <c r="B31" s="353" t="str">
        <f>IF('_Input Engine'!B196="","",'_Input Engine'!B196)</f>
        <v/>
      </c>
      <c r="C31" s="354">
        <f>IF('_Input Engine'!C196="","",'_Input Engine'!C196)</f>
        <v>10</v>
      </c>
      <c r="D31" s="354">
        <f>IF('_Input Engine'!D196="","",'_Input Engine'!D196)</f>
        <v>0</v>
      </c>
      <c r="E31" s="355" t="str">
        <f>IF('_Input Engine'!E196="","",'_Input Engine'!E196)</f>
        <v/>
      </c>
      <c r="F31" s="356" t="str">
        <f>IF('_Input Engine'!J196="","",'_Input Engine'!J196)</f>
        <v/>
      </c>
      <c r="G31" s="356" t="str">
        <f>IF('_Input Engine'!K196="","",'_Input Engine'!K196)</f>
        <v/>
      </c>
      <c r="H31" s="356" t="str">
        <f t="shared" si="0"/>
        <v/>
      </c>
      <c r="I31" s="357">
        <f>IF('_Input Engine'!M196="","",'_Input Engine'!M196)</f>
        <v>1</v>
      </c>
      <c r="J31" s="358" t="str">
        <f>IF('_Input Engine'!N196="","",'_Input Engine'!N196)</f>
        <v/>
      </c>
      <c r="K31" s="359" t="str">
        <f>IF($B31="","",IFERROR(INDEX('Imposed Load'!$B$16:$B$68,MATCH($B31,'Imposed Load'!$A$16:$A$68,0)),""))</f>
        <v/>
      </c>
      <c r="L31" s="359" t="str">
        <f>'_Input Engine'!P196</f>
        <v/>
      </c>
    </row>
    <row r="32" spans="1:12" ht="28.05" customHeight="1">
      <c r="A32" s="353" t="str">
        <f>IF('_Input Engine'!A197="","",'_Input Engine'!A197)</f>
        <v/>
      </c>
      <c r="B32" s="353" t="str">
        <f>IF('_Input Engine'!B197="","",'_Input Engine'!B197)</f>
        <v/>
      </c>
      <c r="C32" s="354">
        <f>IF('_Input Engine'!C197="","",'_Input Engine'!C197)</f>
        <v>10</v>
      </c>
      <c r="D32" s="354">
        <f>IF('_Input Engine'!D197="","",'_Input Engine'!D197)</f>
        <v>0</v>
      </c>
      <c r="E32" s="355" t="str">
        <f>IF('_Input Engine'!E197="","",'_Input Engine'!E197)</f>
        <v/>
      </c>
      <c r="F32" s="356" t="str">
        <f>IF('_Input Engine'!J197="","",'_Input Engine'!J197)</f>
        <v/>
      </c>
      <c r="G32" s="356" t="str">
        <f>IF('_Input Engine'!K197="","",'_Input Engine'!K197)</f>
        <v/>
      </c>
      <c r="H32" s="356" t="str">
        <f t="shared" si="0"/>
        <v/>
      </c>
      <c r="I32" s="357">
        <f>IF('_Input Engine'!M197="","",'_Input Engine'!M197)</f>
        <v>1</v>
      </c>
      <c r="J32" s="358" t="str">
        <f>IF('_Input Engine'!N197="","",'_Input Engine'!N197)</f>
        <v/>
      </c>
      <c r="K32" s="359" t="str">
        <f>IF($B32="","",IFERROR(INDEX('Imposed Load'!$B$16:$B$68,MATCH($B32,'Imposed Load'!$A$16:$A$68,0)),""))</f>
        <v/>
      </c>
      <c r="L32" s="359" t="str">
        <f>'_Input Engine'!P197</f>
        <v/>
      </c>
    </row>
    <row r="33" spans="1:12" ht="28.05" customHeight="1">
      <c r="A33" s="353" t="str">
        <f>IF('_Input Engine'!A198="","",'_Input Engine'!A198)</f>
        <v/>
      </c>
      <c r="B33" s="353" t="str">
        <f>IF('_Input Engine'!B198="","",'_Input Engine'!B198)</f>
        <v/>
      </c>
      <c r="C33" s="354">
        <f>IF('_Input Engine'!C198="","",'_Input Engine'!C198)</f>
        <v>10</v>
      </c>
      <c r="D33" s="354">
        <f>IF('_Input Engine'!D198="","",'_Input Engine'!D198)</f>
        <v>0</v>
      </c>
      <c r="E33" s="355" t="str">
        <f>IF('_Input Engine'!E198="","",'_Input Engine'!E198)</f>
        <v/>
      </c>
      <c r="F33" s="356" t="str">
        <f>IF('_Input Engine'!J198="","",'_Input Engine'!J198)</f>
        <v/>
      </c>
      <c r="G33" s="356" t="str">
        <f>IF('_Input Engine'!K198="","",'_Input Engine'!K198)</f>
        <v/>
      </c>
      <c r="H33" s="356" t="str">
        <f t="shared" si="0"/>
        <v/>
      </c>
      <c r="I33" s="357">
        <f>IF('_Input Engine'!M198="","",'_Input Engine'!M198)</f>
        <v>1</v>
      </c>
      <c r="J33" s="358" t="str">
        <f>IF('_Input Engine'!N198="","",'_Input Engine'!N198)</f>
        <v/>
      </c>
      <c r="K33" s="359" t="str">
        <f>IF($B33="","",IFERROR(INDEX('Imposed Load'!$B$16:$B$68,MATCH($B33,'Imposed Load'!$A$16:$A$68,0)),""))</f>
        <v/>
      </c>
      <c r="L33" s="359" t="str">
        <f>'_Input Engine'!P198</f>
        <v/>
      </c>
    </row>
    <row r="34" spans="1:12" ht="28.05" customHeight="1">
      <c r="A34" s="353" t="str">
        <f>IF('_Input Engine'!A199="","",'_Input Engine'!A199)</f>
        <v/>
      </c>
      <c r="B34" s="353" t="str">
        <f>IF('_Input Engine'!B199="","",'_Input Engine'!B199)</f>
        <v/>
      </c>
      <c r="C34" s="354">
        <f>IF('_Input Engine'!C199="","",'_Input Engine'!C199)</f>
        <v>10</v>
      </c>
      <c r="D34" s="354">
        <f>IF('_Input Engine'!D199="","",'_Input Engine'!D199)</f>
        <v>0</v>
      </c>
      <c r="E34" s="355" t="str">
        <f>IF('_Input Engine'!E199="","",'_Input Engine'!E199)</f>
        <v/>
      </c>
      <c r="F34" s="356" t="str">
        <f>IF('_Input Engine'!J199="","",'_Input Engine'!J199)</f>
        <v/>
      </c>
      <c r="G34" s="356" t="str">
        <f>IF('_Input Engine'!K199="","",'_Input Engine'!K199)</f>
        <v/>
      </c>
      <c r="H34" s="356" t="str">
        <f t="shared" si="0"/>
        <v/>
      </c>
      <c r="I34" s="357">
        <f>IF('_Input Engine'!M199="","",'_Input Engine'!M199)</f>
        <v>1</v>
      </c>
      <c r="J34" s="358" t="str">
        <f>IF('_Input Engine'!N199="","",'_Input Engine'!N199)</f>
        <v/>
      </c>
      <c r="K34" s="359" t="str">
        <f>IF($B34="","",IFERROR(INDEX('Imposed Load'!$B$16:$B$68,MATCH($B34,'Imposed Load'!$A$16:$A$68,0)),""))</f>
        <v/>
      </c>
      <c r="L34" s="359" t="str">
        <f>'_Input Engine'!P199</f>
        <v/>
      </c>
    </row>
    <row r="35" spans="1:12" ht="28.05" customHeight="1">
      <c r="A35" s="353" t="str">
        <f>IF('_Input Engine'!A200="","",'_Input Engine'!A200)</f>
        <v/>
      </c>
      <c r="B35" s="353" t="str">
        <f>IF('_Input Engine'!B200="","",'_Input Engine'!B200)</f>
        <v/>
      </c>
      <c r="C35" s="354">
        <f>IF('_Input Engine'!C200="","",'_Input Engine'!C200)</f>
        <v>10</v>
      </c>
      <c r="D35" s="354">
        <f>IF('_Input Engine'!D200="","",'_Input Engine'!D200)</f>
        <v>0</v>
      </c>
      <c r="E35" s="355" t="str">
        <f>IF('_Input Engine'!E200="","",'_Input Engine'!E200)</f>
        <v/>
      </c>
      <c r="F35" s="356" t="str">
        <f>IF('_Input Engine'!J200="","",'_Input Engine'!J200)</f>
        <v/>
      </c>
      <c r="G35" s="356" t="str">
        <f>IF('_Input Engine'!K200="","",'_Input Engine'!K200)</f>
        <v/>
      </c>
      <c r="H35" s="356" t="str">
        <f t="shared" si="0"/>
        <v/>
      </c>
      <c r="I35" s="357">
        <f>IF('_Input Engine'!M200="","",'_Input Engine'!M200)</f>
        <v>1</v>
      </c>
      <c r="J35" s="358" t="str">
        <f>IF('_Input Engine'!N200="","",'_Input Engine'!N200)</f>
        <v/>
      </c>
      <c r="K35" s="359" t="str">
        <f>IF($B35="","",IFERROR(INDEX('Imposed Load'!$B$16:$B$68,MATCH($B35,'Imposed Load'!$A$16:$A$68,0)),""))</f>
        <v/>
      </c>
      <c r="L35" s="359" t="str">
        <f>'_Input Engine'!P200</f>
        <v/>
      </c>
    </row>
    <row r="36" spans="1:12" ht="24" customHeight="1">
      <c r="A36" s="9" t="s">
        <v>140</v>
      </c>
      <c r="B36" s="9"/>
      <c r="C36" s="9"/>
      <c r="D36" s="9"/>
      <c r="E36" s="10"/>
      <c r="F36" s="10"/>
      <c r="G36" s="10"/>
      <c r="H36" s="10"/>
      <c r="I36" s="11"/>
      <c r="J36" s="205">
        <f>IF(COUNT($J$16:$J$35)=0,"",SUM($J$16:$J$35))</f>
        <v>17200</v>
      </c>
      <c r="K36" s="205" t="str">
        <f>""</f>
        <v/>
      </c>
      <c r="L36" s="7" t="str">
        <f>""</f>
        <v/>
      </c>
    </row>
    <row r="37" spans="1:12" ht="24" customHeight="1"/>
    <row r="38" spans="1:12" ht="24" customHeight="1">
      <c r="A38" s="442" t="s">
        <v>141</v>
      </c>
      <c r="B38" s="442"/>
      <c r="C38" s="442"/>
      <c r="D38" s="442"/>
      <c r="E38" s="206">
        <f>IF(OR($J$36="",$B$10=""),"",$J$36*$B$10)</f>
        <v>21500</v>
      </c>
      <c r="F38" s="212" t="s">
        <v>142</v>
      </c>
    </row>
    <row r="39" spans="1:12" ht="24" customHeight="1">
      <c r="A39" s="442" t="s">
        <v>143</v>
      </c>
      <c r="B39" s="442"/>
      <c r="C39" s="442"/>
      <c r="D39" s="442"/>
      <c r="E39" s="206">
        <f>IF(OR($B$7="",$B$8="",$E$6="",$E$5=""),"",(0.35*$B$7*$E$6+0.67*$B$8*$E$5)/1000)</f>
        <v>23368.5</v>
      </c>
      <c r="F39" s="212" t="s">
        <v>142</v>
      </c>
    </row>
    <row r="40" spans="1:12" ht="24" customHeight="1">
      <c r="A40" s="442" t="s">
        <v>144</v>
      </c>
      <c r="B40" s="442"/>
      <c r="C40" s="442"/>
      <c r="D40" s="442"/>
      <c r="E40" s="207">
        <f>IF(OR($E$38="",$E$39=""),"",$E$38/$E$39)</f>
        <v>0.92004193679525859</v>
      </c>
      <c r="F40" s="7"/>
    </row>
    <row r="41" spans="1:12" ht="24" customHeight="1">
      <c r="A41" s="442" t="s">
        <v>145</v>
      </c>
      <c r="B41" s="442"/>
      <c r="C41" s="442"/>
      <c r="D41" s="442"/>
      <c r="E41" s="208" t="str">
        <f>IF(OR($E$38="",$E$39=""),"Missing input",IF($E$38&lt;=$E$39,"OKAY","NOT OKAY"))</f>
        <v>OKAY</v>
      </c>
      <c r="F41" s="7"/>
    </row>
    <row r="42" spans="1:12" ht="24" customHeight="1"/>
    <row r="43" spans="1:12" ht="43.95" customHeight="1">
      <c r="A43" s="435" t="s">
        <v>197</v>
      </c>
      <c r="B43" s="435"/>
      <c r="C43" s="435"/>
      <c r="D43" s="435"/>
      <c r="E43" s="435"/>
      <c r="F43" s="435"/>
      <c r="G43" s="435"/>
      <c r="H43" s="435"/>
    </row>
    <row r="44" spans="1:12" ht="43.95" customHeight="1">
      <c r="A44" s="435" t="s">
        <v>146</v>
      </c>
      <c r="B44" s="435"/>
      <c r="C44" s="435"/>
      <c r="D44" s="435"/>
      <c r="E44" s="435"/>
      <c r="F44" s="435"/>
      <c r="G44" s="435"/>
      <c r="H44" s="435"/>
    </row>
    <row r="45" spans="1:12" ht="24" customHeight="1"/>
    <row r="46" spans="1:12" ht="24" customHeight="1"/>
    <row r="47" spans="1:12" ht="24" customHeight="1"/>
    <row r="48" spans="1:12" ht="42" customHeight="1"/>
    <row r="49" spans="6:8" ht="25.95" customHeight="1">
      <c r="F49" t="str">
        <f t="shared" ref="F49:F68" si="1">IF(OR($C49="",$D49="",$E49=""),"",($B$11*$C49+$B$12*$D49)*$E49)</f>
        <v/>
      </c>
      <c r="H49" t="str">
        <f t="shared" ref="H49:H68" si="2">IF($A$26="","",$K$26)</f>
        <v/>
      </c>
    </row>
    <row r="50" spans="6:8" ht="25.95" customHeight="1">
      <c r="F50" t="str">
        <f t="shared" si="1"/>
        <v/>
      </c>
      <c r="H50" t="str">
        <f t="shared" si="2"/>
        <v/>
      </c>
    </row>
    <row r="51" spans="6:8" ht="25.95" customHeight="1">
      <c r="F51" t="str">
        <f t="shared" si="1"/>
        <v/>
      </c>
      <c r="H51" t="str">
        <f t="shared" si="2"/>
        <v/>
      </c>
    </row>
    <row r="52" spans="6:8" ht="25.95" customHeight="1">
      <c r="F52" t="str">
        <f t="shared" si="1"/>
        <v/>
      </c>
      <c r="H52" t="str">
        <f t="shared" si="2"/>
        <v/>
      </c>
    </row>
    <row r="53" spans="6:8" ht="25.95" customHeight="1">
      <c r="F53" t="str">
        <f t="shared" si="1"/>
        <v/>
      </c>
      <c r="H53" t="str">
        <f t="shared" si="2"/>
        <v/>
      </c>
    </row>
    <row r="54" spans="6:8" ht="25.95" customHeight="1">
      <c r="F54" t="str">
        <f t="shared" si="1"/>
        <v/>
      </c>
      <c r="H54" t="str">
        <f t="shared" si="2"/>
        <v/>
      </c>
    </row>
    <row r="55" spans="6:8" ht="25.95" customHeight="1">
      <c r="F55" t="str">
        <f t="shared" si="1"/>
        <v/>
      </c>
      <c r="H55" t="str">
        <f t="shared" si="2"/>
        <v/>
      </c>
    </row>
    <row r="56" spans="6:8" ht="25.95" customHeight="1">
      <c r="F56" t="str">
        <f t="shared" si="1"/>
        <v/>
      </c>
      <c r="H56" t="str">
        <f t="shared" si="2"/>
        <v/>
      </c>
    </row>
    <row r="57" spans="6:8" ht="25.95" customHeight="1">
      <c r="F57" t="str">
        <f t="shared" si="1"/>
        <v/>
      </c>
      <c r="H57" t="str">
        <f t="shared" si="2"/>
        <v/>
      </c>
    </row>
    <row r="58" spans="6:8" ht="25.95" customHeight="1">
      <c r="F58" t="str">
        <f t="shared" si="1"/>
        <v/>
      </c>
      <c r="H58" t="str">
        <f t="shared" si="2"/>
        <v/>
      </c>
    </row>
    <row r="59" spans="6:8" ht="25.95" customHeight="1">
      <c r="F59" t="str">
        <f t="shared" si="1"/>
        <v/>
      </c>
      <c r="H59" t="str">
        <f t="shared" si="2"/>
        <v/>
      </c>
    </row>
    <row r="60" spans="6:8" ht="25.95" customHeight="1">
      <c r="F60" t="str">
        <f t="shared" si="1"/>
        <v/>
      </c>
      <c r="H60" t="str">
        <f t="shared" si="2"/>
        <v/>
      </c>
    </row>
    <row r="61" spans="6:8" ht="25.95" customHeight="1">
      <c r="F61" t="str">
        <f t="shared" si="1"/>
        <v/>
      </c>
      <c r="H61" t="str">
        <f t="shared" si="2"/>
        <v/>
      </c>
    </row>
    <row r="62" spans="6:8" ht="25.95" customHeight="1">
      <c r="F62" t="str">
        <f t="shared" si="1"/>
        <v/>
      </c>
      <c r="H62" t="str">
        <f t="shared" si="2"/>
        <v/>
      </c>
    </row>
    <row r="63" spans="6:8" ht="25.95" customHeight="1">
      <c r="F63" t="str">
        <f t="shared" si="1"/>
        <v/>
      </c>
      <c r="H63" t="str">
        <f t="shared" si="2"/>
        <v/>
      </c>
    </row>
    <row r="64" spans="6:8" ht="25.95" customHeight="1">
      <c r="F64" t="str">
        <f t="shared" si="1"/>
        <v/>
      </c>
      <c r="H64" t="str">
        <f t="shared" si="2"/>
        <v/>
      </c>
    </row>
    <row r="65" spans="6:8" ht="25.95" customHeight="1">
      <c r="F65" t="str">
        <f t="shared" si="1"/>
        <v/>
      </c>
      <c r="H65" t="str">
        <f t="shared" si="2"/>
        <v/>
      </c>
    </row>
    <row r="66" spans="6:8" ht="25.95" customHeight="1">
      <c r="F66" t="str">
        <f t="shared" si="1"/>
        <v/>
      </c>
      <c r="H66" t="str">
        <f t="shared" si="2"/>
        <v/>
      </c>
    </row>
    <row r="67" spans="6:8" ht="25.95" customHeight="1">
      <c r="F67" t="str">
        <f t="shared" si="1"/>
        <v/>
      </c>
      <c r="H67" t="str">
        <f t="shared" si="2"/>
        <v/>
      </c>
    </row>
    <row r="68" spans="6:8" ht="25.95" customHeight="1">
      <c r="F68" t="str">
        <f t="shared" si="1"/>
        <v/>
      </c>
      <c r="H68" t="str">
        <f t="shared" si="2"/>
        <v/>
      </c>
    </row>
    <row r="69" spans="6:8" ht="28.05" customHeight="1"/>
    <row r="70" spans="6:8" ht="24" customHeight="1"/>
    <row r="71" spans="6:8" ht="28.05" customHeight="1"/>
    <row r="72" spans="6:8" ht="36" customHeight="1"/>
    <row r="73" spans="6:8" ht="36" customHeight="1"/>
    <row r="74" spans="6:8" ht="36" customHeight="1"/>
    <row r="75" spans="6:8" ht="36" customHeight="1"/>
    <row r="76" spans="6:8" ht="36" customHeight="1"/>
    <row r="77" spans="6:8" ht="36" customHeight="1"/>
    <row r="78" spans="6:8" ht="36" customHeight="1"/>
    <row r="79" spans="6:8" ht="36" customHeight="1"/>
    <row r="80" spans="6:8"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43.95" customHeight="1"/>
    <row r="93" ht="43.95" customHeight="1"/>
    <row r="94" ht="43.95" customHeight="1"/>
  </sheetData>
  <mergeCells count="9">
    <mergeCell ref="A44:H44"/>
    <mergeCell ref="A1:I1"/>
    <mergeCell ref="A2:I2"/>
    <mergeCell ref="A38:D38"/>
    <mergeCell ref="A39:D39"/>
    <mergeCell ref="A40:D40"/>
    <mergeCell ref="A41:D41"/>
    <mergeCell ref="A43:H43"/>
    <mergeCell ref="A14:L14"/>
  </mergeCells>
  <phoneticPr fontId="10" type="noConversion"/>
  <conditionalFormatting sqref="E41">
    <cfRule type="containsText" dxfId="67" priority="4" operator="containsText" text="OKAY"/>
    <cfRule type="containsText" dxfId="66" priority="5" operator="containsText" text="NOT OKAY"/>
    <cfRule type="containsText" dxfId="65" priority="6" operator="containsText" text="Missing input"/>
    <cfRule type="containsText" dxfId="64" priority="21" operator="containsText" text="OKAY"/>
    <cfRule type="containsText" dxfId="63" priority="22" operator="containsText" text="NOT OKAY"/>
    <cfRule type="containsText" dxfId="62" priority="23" operator="containsText" text="Missing input"/>
  </conditionalFormatting>
  <conditionalFormatting sqref="E67">
    <cfRule type="containsText" dxfId="61" priority="11" operator="containsText" text="OKAY"/>
    <cfRule type="containsText" dxfId="60" priority="12" operator="containsText" text="NOT OKAY"/>
    <cfRule type="containsText" dxfId="59" priority="13" operator="containsText" text="Missing input"/>
  </conditionalFormatting>
  <conditionalFormatting sqref="E90">
    <cfRule type="containsText" dxfId="58" priority="18" operator="containsText" text="OKAY"/>
    <cfRule type="containsText" dxfId="57" priority="19" operator="containsText" text="NOT OKAY"/>
    <cfRule type="containsText" dxfId="56" priority="20" operator="containsText" text="Missing input"/>
  </conditionalFormatting>
  <conditionalFormatting sqref="H39:H58">
    <cfRule type="containsText" dxfId="55" priority="16" operator="containsText" text="OKAY"/>
    <cfRule type="containsText" dxfId="54" priority="17" operator="containsText" text="NOT OKAY"/>
  </conditionalFormatting>
  <conditionalFormatting sqref="H49:I68">
    <cfRule type="containsText" dxfId="53" priority="7" operator="containsText" text="OKAY"/>
    <cfRule type="containsText" dxfId="52" priority="8" operator="containsText" text="NOT OKAY"/>
  </conditionalFormatting>
  <conditionalFormatting sqref="I72:I91">
    <cfRule type="containsText" dxfId="51" priority="26" operator="containsText" text="OKAY"/>
    <cfRule type="containsText" dxfId="50" priority="27" operator="containsText" text="NOT OKAY"/>
    <cfRule type="containsText" dxfId="49" priority="28" operator="containsText" text="INPUT REQUIRED"/>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2C48-DFC8-4703-9325-2F5CF143411F}">
  <sheetPr codeName="Sheet7">
    <tabColor rgb="FF549660"/>
    <pageSetUpPr fitToPage="1"/>
  </sheetPr>
  <dimension ref="A1:T204"/>
  <sheetViews>
    <sheetView showGridLines="0" workbookViewId="0">
      <selection activeCell="I6" sqref="I6"/>
    </sheetView>
  </sheetViews>
  <sheetFormatPr defaultRowHeight="13.8"/>
  <cols>
    <col min="1" max="1" width="13.69921875" customWidth="1"/>
    <col min="2" max="2" width="19.69921875" customWidth="1"/>
    <col min="3" max="9" width="14.69921875" customWidth="1"/>
    <col min="10" max="10" width="19.69921875" customWidth="1"/>
    <col min="11" max="12" width="23.69921875" customWidth="1"/>
    <col min="15" max="17" width="20.69921875" customWidth="1"/>
    <col min="18" max="20" width="21.69921875" customWidth="1"/>
  </cols>
  <sheetData>
    <row r="1" spans="1:20" ht="31.95" customHeight="1">
      <c r="A1" s="445" t="s">
        <v>209</v>
      </c>
      <c r="B1" s="445"/>
      <c r="C1" s="445"/>
      <c r="D1" s="445"/>
      <c r="E1" s="445"/>
      <c r="F1" s="445"/>
      <c r="G1" s="445"/>
      <c r="H1" s="445"/>
      <c r="I1" s="445"/>
      <c r="J1" s="445"/>
      <c r="K1" s="445"/>
      <c r="L1" s="34"/>
      <c r="M1" s="15"/>
      <c r="N1" s="15"/>
      <c r="O1" s="396" t="s">
        <v>325</v>
      </c>
      <c r="P1" s="396"/>
      <c r="Q1" s="396"/>
      <c r="R1" s="396"/>
      <c r="S1" s="396"/>
      <c r="T1" s="396"/>
    </row>
    <row r="2" spans="1:20" ht="34.049999999999997" customHeight="1">
      <c r="A2" s="446" t="s">
        <v>1084</v>
      </c>
      <c r="B2" s="447"/>
      <c r="C2" s="447"/>
      <c r="D2" s="447"/>
      <c r="E2" s="447"/>
      <c r="F2" s="447"/>
      <c r="G2" s="447"/>
      <c r="H2" s="447"/>
      <c r="I2" s="447"/>
      <c r="J2" s="447"/>
      <c r="K2" s="447"/>
      <c r="L2" s="35"/>
      <c r="M2" s="15"/>
      <c r="N2" s="15"/>
      <c r="O2" s="396"/>
      <c r="P2" s="396"/>
      <c r="Q2" s="396"/>
      <c r="R2" s="396"/>
      <c r="S2" s="396"/>
      <c r="T2" s="396"/>
    </row>
    <row r="3" spans="1:20" ht="43.95" customHeight="1">
      <c r="A3" s="447"/>
      <c r="B3" s="447"/>
      <c r="C3" s="447"/>
      <c r="D3" s="447"/>
      <c r="E3" s="447"/>
      <c r="F3" s="447"/>
      <c r="G3" s="447"/>
      <c r="H3" s="447"/>
      <c r="I3" s="447"/>
      <c r="J3" s="447"/>
      <c r="K3" s="447"/>
      <c r="L3" s="35"/>
      <c r="M3" s="15"/>
      <c r="N3" s="15"/>
      <c r="O3" s="405" t="s">
        <v>326</v>
      </c>
      <c r="P3" s="405"/>
      <c r="Q3" s="405"/>
      <c r="R3" s="405"/>
      <c r="S3" s="405"/>
      <c r="T3" s="405"/>
    </row>
    <row r="4" spans="1:20" ht="42" customHeight="1">
      <c r="A4" s="37" t="s">
        <v>210</v>
      </c>
      <c r="B4" s="38" t="s">
        <v>127</v>
      </c>
      <c r="C4" s="38" t="s">
        <v>211</v>
      </c>
      <c r="D4" s="38" t="s">
        <v>212</v>
      </c>
      <c r="E4" s="38" t="s">
        <v>213</v>
      </c>
      <c r="F4" s="38" t="s">
        <v>214</v>
      </c>
      <c r="G4" s="38" t="s">
        <v>215</v>
      </c>
      <c r="H4" s="38" t="s">
        <v>216</v>
      </c>
      <c r="I4" s="38" t="s">
        <v>163</v>
      </c>
      <c r="J4" s="38" t="s">
        <v>217</v>
      </c>
      <c r="K4" s="39" t="s">
        <v>106</v>
      </c>
      <c r="M4" s="15"/>
      <c r="N4" s="15"/>
      <c r="O4" s="24" t="s">
        <v>210</v>
      </c>
      <c r="P4" s="24" t="s">
        <v>327</v>
      </c>
      <c r="Q4" s="24" t="s">
        <v>106</v>
      </c>
      <c r="R4" s="36" t="s">
        <v>328</v>
      </c>
      <c r="S4" s="36" t="s">
        <v>329</v>
      </c>
      <c r="T4" s="36" t="s">
        <v>330</v>
      </c>
    </row>
    <row r="5" spans="1:20" ht="28.05" customHeight="1">
      <c r="A5" s="40"/>
      <c r="B5" s="41"/>
      <c r="C5" s="224" t="str">
        <f t="shared" ref="C5" si="0">IF(A5="","",10)</f>
        <v/>
      </c>
      <c r="D5" s="31"/>
      <c r="E5" s="224" t="str">
        <f>IF(B5="","",IFERROR(IF(INDEX('Imposed Load'!$B$16:$B$68,MATCH(B5,'Imposed Load'!$A$16:$A$68,0))="LL-SPECIAL","",INDEX('Imposed Load'!$C$16:$C$68,MATCH(B5,'Imposed Load'!$A$16:$A$68,0))),""))</f>
        <v/>
      </c>
      <c r="F5" s="31"/>
      <c r="G5" s="31"/>
      <c r="H5" s="216" t="str">
        <f t="shared" ref="H5" si="1">IF(OR(F5="",G5=""),"",F5*G5)</f>
        <v/>
      </c>
      <c r="I5" s="45"/>
      <c r="J5" s="216" t="str">
        <f t="shared" ref="J5" si="2">IF(K5&lt;&gt;"OK","",H5*I5*(1.4*(C5+D5)+1.6*E5))</f>
        <v/>
      </c>
      <c r="K5" s="218" t="str">
        <f t="shared" ref="K5" si="3">IF(AND(A5="",B5="",F5="",G5=""),"",IF(OR(COUNTIF($O$5:$O$104,A5)&lt;&gt;1,B5="",COUNT(C5:G5,I5)&lt;&gt;6,MIN(C5:E5)&lt;0,F5&lt;=0,G5&lt;=0,I5&lt;=0,MOD(I5,1)&lt;&gt;0),"INPUT REQUIRED","OK"))</f>
        <v/>
      </c>
      <c r="M5" s="15"/>
      <c r="N5" s="15"/>
      <c r="O5" s="223" t="s">
        <v>218</v>
      </c>
      <c r="P5" s="220" t="str">
        <f t="shared" ref="P5:P36" si="4">IF(Q5&lt;&gt;"OK","",IF(S5&lt;&gt;"",S5,R5))</f>
        <v/>
      </c>
      <c r="Q5" s="221" t="str">
        <f>IF(S5&lt;&gt;"",IF(AND(ISNUMBER(S5),S5&gt;=0),"OK","INVALID MANUAL LOAD"),IF(COUNTIF(TCFloors[TC ID],O5)=0,"UNUSED",IF(COUNTIFS(TCFloors[TC ID],O5,TCFloors[Check],"&lt;&gt;OK")&gt;0,"INPUT REQUIRED","OK")))</f>
        <v>UNUSED</v>
      </c>
      <c r="R5" s="222" t="str">
        <f>IF(AND(COUNTIF(TCFloors[TC ID],O5)&gt;0,COUNTIFS(TCFloors[TC ID],O5,TCFloors[Check],"&lt;&gt;OK")=0),SUMIF(TCFloors[TC ID],O5,TCFloors[Floor Load]),"")</f>
        <v/>
      </c>
      <c r="S5" s="228"/>
      <c r="T5" s="202" t="str">
        <f t="shared" ref="T5:T36" si="5">IF(S5&lt;&gt;"","MANUAL OVERRIDE",IF(Q5="UNUSED","","FLOOR DETAILS"))</f>
        <v/>
      </c>
    </row>
    <row r="6" spans="1:20" ht="28.05" customHeight="1">
      <c r="A6" s="40"/>
      <c r="B6" s="41"/>
      <c r="C6" s="224" t="str">
        <f t="shared" ref="C6:C37" si="6">IF(A6="","",10)</f>
        <v/>
      </c>
      <c r="D6" s="31"/>
      <c r="E6" s="224" t="str">
        <f>IF(B6="","",IFERROR(IF(INDEX('Imposed Load'!$B$16:$B$68,MATCH(B6,'Imposed Load'!$A$16:$A$68,0))="LL-SPECIAL","",INDEX('Imposed Load'!$C$16:$C$68,MATCH(B6,'Imposed Load'!$A$16:$A$68,0))),""))</f>
        <v/>
      </c>
      <c r="F6" s="31"/>
      <c r="G6" s="31"/>
      <c r="H6" s="216" t="str">
        <f t="shared" ref="H6:H37" si="7">IF(OR(F6="",G6=""),"",F6*G6)</f>
        <v/>
      </c>
      <c r="I6" s="226" t="str">
        <f t="shared" ref="I6:I37" si="8">IF(A6="","",1)</f>
        <v/>
      </c>
      <c r="J6" s="216" t="str">
        <f t="shared" ref="J6:J37" si="9">IF(K6&lt;&gt;"OK","",H6*I6*(1.4*(C6+D6)+1.6*E6))</f>
        <v/>
      </c>
      <c r="K6" s="218" t="str">
        <f t="shared" ref="K6:K37" si="10">IF(AND(A6="",B6="",F6="",G6=""),"",IF(OR(COUNTIF($O$5:$O$104,A6)&lt;&gt;1,B6="",COUNT(C6:G6,I6)&lt;&gt;6,MIN(C6:E6)&lt;0,F6&lt;=0,G6&lt;=0,I6&lt;=0,MOD(I6,1)&lt;&gt;0),"INPUT REQUIRED","OK"))</f>
        <v/>
      </c>
      <c r="M6" s="15"/>
      <c r="N6" s="15"/>
      <c r="O6" s="223" t="s">
        <v>219</v>
      </c>
      <c r="P6" s="220" t="str">
        <f t="shared" si="4"/>
        <v/>
      </c>
      <c r="Q6" s="221" t="str">
        <f>IF(S6&lt;&gt;"",IF(AND(ISNUMBER(S6),S6&gt;=0),"OK","INVALID MANUAL LOAD"),IF(COUNTIF(TCFloors[TC ID],O6)=0,"UNUSED",IF(COUNTIFS(TCFloors[TC ID],O6,TCFloors[Check],"&lt;&gt;OK")&gt;0,"INPUT REQUIRED","OK")))</f>
        <v>UNUSED</v>
      </c>
      <c r="R6" s="222" t="str">
        <f>IF(AND(COUNTIF(TCFloors[TC ID],O6)&gt;0,COUNTIFS(TCFloors[TC ID],O6,TCFloors[Check],"&lt;&gt;OK")=0),SUMIF(TCFloors[TC ID],O6,TCFloors[Floor Load]),"")</f>
        <v/>
      </c>
      <c r="S6" s="228"/>
      <c r="T6" s="202" t="str">
        <f t="shared" si="5"/>
        <v/>
      </c>
    </row>
    <row r="7" spans="1:20" ht="28.05" customHeight="1">
      <c r="A7" s="40"/>
      <c r="B7" s="41"/>
      <c r="C7" s="224" t="str">
        <f t="shared" si="6"/>
        <v/>
      </c>
      <c r="D7" s="31"/>
      <c r="E7" s="224" t="str">
        <f>IF(B7="","",IFERROR(IF(INDEX('Imposed Load'!$B$16:$B$68,MATCH(B7,'Imposed Load'!$A$16:$A$68,0))="LL-SPECIAL","",INDEX('Imposed Load'!$C$16:$C$68,MATCH(B7,'Imposed Load'!$A$16:$A$68,0))),""))</f>
        <v/>
      </c>
      <c r="F7" s="31"/>
      <c r="G7" s="31"/>
      <c r="H7" s="216" t="str">
        <f t="shared" si="7"/>
        <v/>
      </c>
      <c r="I7" s="226" t="str">
        <f t="shared" si="8"/>
        <v/>
      </c>
      <c r="J7" s="216" t="str">
        <f t="shared" si="9"/>
        <v/>
      </c>
      <c r="K7" s="218" t="str">
        <f t="shared" si="10"/>
        <v/>
      </c>
      <c r="M7" s="15"/>
      <c r="N7" s="15"/>
      <c r="O7" s="223" t="s">
        <v>220</v>
      </c>
      <c r="P7" s="220" t="str">
        <f t="shared" si="4"/>
        <v/>
      </c>
      <c r="Q7" s="221" t="str">
        <f>IF(S7&lt;&gt;"",IF(AND(ISNUMBER(S7),S7&gt;=0),"OK","INVALID MANUAL LOAD"),IF(COUNTIF(TCFloors[TC ID],O7)=0,"UNUSED",IF(COUNTIFS(TCFloors[TC ID],O7,TCFloors[Check],"&lt;&gt;OK")&gt;0,"INPUT REQUIRED","OK")))</f>
        <v>UNUSED</v>
      </c>
      <c r="R7" s="222" t="str">
        <f>IF(AND(COUNTIF(TCFloors[TC ID],O7)&gt;0,COUNTIFS(TCFloors[TC ID],O7,TCFloors[Check],"&lt;&gt;OK")=0),SUMIF(TCFloors[TC ID],O7,TCFloors[Floor Load]),"")</f>
        <v/>
      </c>
      <c r="S7" s="228"/>
      <c r="T7" s="202" t="str">
        <f t="shared" si="5"/>
        <v/>
      </c>
    </row>
    <row r="8" spans="1:20" ht="28.05" customHeight="1">
      <c r="A8" s="40"/>
      <c r="B8" s="41"/>
      <c r="C8" s="224" t="str">
        <f t="shared" si="6"/>
        <v/>
      </c>
      <c r="D8" s="31"/>
      <c r="E8" s="224" t="str">
        <f>IF(B8="","",IFERROR(IF(INDEX('Imposed Load'!$B$16:$B$68,MATCH(B8,'Imposed Load'!$A$16:$A$68,0))="LL-SPECIAL","",INDEX('Imposed Load'!$C$16:$C$68,MATCH(B8,'Imposed Load'!$A$16:$A$68,0))),""))</f>
        <v/>
      </c>
      <c r="F8" s="31"/>
      <c r="G8" s="31"/>
      <c r="H8" s="216" t="str">
        <f t="shared" si="7"/>
        <v/>
      </c>
      <c r="I8" s="226" t="str">
        <f t="shared" si="8"/>
        <v/>
      </c>
      <c r="J8" s="216" t="str">
        <f t="shared" si="9"/>
        <v/>
      </c>
      <c r="K8" s="218" t="str">
        <f t="shared" si="10"/>
        <v/>
      </c>
      <c r="M8" s="15"/>
      <c r="N8" s="15"/>
      <c r="O8" s="223" t="s">
        <v>221</v>
      </c>
      <c r="P8" s="220" t="str">
        <f t="shared" si="4"/>
        <v/>
      </c>
      <c r="Q8" s="221" t="str">
        <f>IF(S8&lt;&gt;"",IF(AND(ISNUMBER(S8),S8&gt;=0),"OK","INVALID MANUAL LOAD"),IF(COUNTIF(TCFloors[TC ID],O8)=0,"UNUSED",IF(COUNTIFS(TCFloors[TC ID],O8,TCFloors[Check],"&lt;&gt;OK")&gt;0,"INPUT REQUIRED","OK")))</f>
        <v>UNUSED</v>
      </c>
      <c r="R8" s="222" t="str">
        <f>IF(AND(COUNTIF(TCFloors[TC ID],O8)&gt;0,COUNTIFS(TCFloors[TC ID],O8,TCFloors[Check],"&lt;&gt;OK")=0),SUMIF(TCFloors[TC ID],O8,TCFloors[Floor Load]),"")</f>
        <v/>
      </c>
      <c r="S8" s="228"/>
      <c r="T8" s="202" t="str">
        <f t="shared" si="5"/>
        <v/>
      </c>
    </row>
    <row r="9" spans="1:20" ht="28.05" customHeight="1">
      <c r="A9" s="40"/>
      <c r="B9" s="41"/>
      <c r="C9" s="224" t="str">
        <f t="shared" si="6"/>
        <v/>
      </c>
      <c r="D9" s="31"/>
      <c r="E9" s="224" t="str">
        <f>IF(B9="","",IFERROR(IF(INDEX('Imposed Load'!$B$16:$B$68,MATCH(B9,'Imposed Load'!$A$16:$A$68,0))="LL-SPECIAL","",INDEX('Imposed Load'!$C$16:$C$68,MATCH(B9,'Imposed Load'!$A$16:$A$68,0))),""))</f>
        <v/>
      </c>
      <c r="F9" s="31"/>
      <c r="G9" s="31"/>
      <c r="H9" s="216" t="str">
        <f t="shared" si="7"/>
        <v/>
      </c>
      <c r="I9" s="226" t="str">
        <f t="shared" si="8"/>
        <v/>
      </c>
      <c r="J9" s="216" t="str">
        <f t="shared" si="9"/>
        <v/>
      </c>
      <c r="K9" s="218" t="str">
        <f t="shared" si="10"/>
        <v/>
      </c>
      <c r="M9" s="15"/>
      <c r="N9" s="15"/>
      <c r="O9" s="223" t="s">
        <v>222</v>
      </c>
      <c r="P9" s="220" t="str">
        <f t="shared" si="4"/>
        <v/>
      </c>
      <c r="Q9" s="221" t="str">
        <f>IF(S9&lt;&gt;"",IF(AND(ISNUMBER(S9),S9&gt;=0),"OK","INVALID MANUAL LOAD"),IF(COUNTIF(TCFloors[TC ID],O9)=0,"UNUSED",IF(COUNTIFS(TCFloors[TC ID],O9,TCFloors[Check],"&lt;&gt;OK")&gt;0,"INPUT REQUIRED","OK")))</f>
        <v>UNUSED</v>
      </c>
      <c r="R9" s="222" t="str">
        <f>IF(AND(COUNTIF(TCFloors[TC ID],O9)&gt;0,COUNTIFS(TCFloors[TC ID],O9,TCFloors[Check],"&lt;&gt;OK")=0),SUMIF(TCFloors[TC ID],O9,TCFloors[Floor Load]),"")</f>
        <v/>
      </c>
      <c r="S9" s="228"/>
      <c r="T9" s="202" t="str">
        <f t="shared" si="5"/>
        <v/>
      </c>
    </row>
    <row r="10" spans="1:20" ht="28.05" customHeight="1">
      <c r="A10" s="40"/>
      <c r="B10" s="41"/>
      <c r="C10" s="224" t="str">
        <f t="shared" si="6"/>
        <v/>
      </c>
      <c r="D10" s="31"/>
      <c r="E10" s="224" t="str">
        <f>IF(B10="","",IFERROR(IF(INDEX('Imposed Load'!$B$16:$B$68,MATCH(B10,'Imposed Load'!$A$16:$A$68,0))="LL-SPECIAL","",INDEX('Imposed Load'!$C$16:$C$68,MATCH(B10,'Imposed Load'!$A$16:$A$68,0))),""))</f>
        <v/>
      </c>
      <c r="F10" s="31"/>
      <c r="G10" s="31"/>
      <c r="H10" s="216" t="str">
        <f t="shared" si="7"/>
        <v/>
      </c>
      <c r="I10" s="226" t="str">
        <f t="shared" si="8"/>
        <v/>
      </c>
      <c r="J10" s="216" t="str">
        <f t="shared" si="9"/>
        <v/>
      </c>
      <c r="K10" s="218" t="str">
        <f t="shared" si="10"/>
        <v/>
      </c>
      <c r="M10" s="15"/>
      <c r="N10" s="15"/>
      <c r="O10" s="223" t="s">
        <v>223</v>
      </c>
      <c r="P10" s="220" t="str">
        <f t="shared" si="4"/>
        <v/>
      </c>
      <c r="Q10" s="221" t="str">
        <f>IF(S10&lt;&gt;"",IF(AND(ISNUMBER(S10),S10&gt;=0),"OK","INVALID MANUAL LOAD"),IF(COUNTIF(TCFloors[TC ID],O10)=0,"UNUSED",IF(COUNTIFS(TCFloors[TC ID],O10,TCFloors[Check],"&lt;&gt;OK")&gt;0,"INPUT REQUIRED","OK")))</f>
        <v>UNUSED</v>
      </c>
      <c r="R10" s="222" t="str">
        <f>IF(AND(COUNTIF(TCFloors[TC ID],O10)&gt;0,COUNTIFS(TCFloors[TC ID],O10,TCFloors[Check],"&lt;&gt;OK")=0),SUMIF(TCFloors[TC ID],O10,TCFloors[Floor Load]),"")</f>
        <v/>
      </c>
      <c r="S10" s="228"/>
      <c r="T10" s="202" t="str">
        <f t="shared" si="5"/>
        <v/>
      </c>
    </row>
    <row r="11" spans="1:20" ht="28.05" customHeight="1">
      <c r="A11" s="40"/>
      <c r="B11" s="41"/>
      <c r="C11" s="224" t="str">
        <f t="shared" si="6"/>
        <v/>
      </c>
      <c r="D11" s="31"/>
      <c r="E11" s="224" t="str">
        <f>IF(B11="","",IFERROR(IF(INDEX('Imposed Load'!$B$16:$B$68,MATCH(B11,'Imposed Load'!$A$16:$A$68,0))="LL-SPECIAL","",INDEX('Imposed Load'!$C$16:$C$68,MATCH(B11,'Imposed Load'!$A$16:$A$68,0))),""))</f>
        <v/>
      </c>
      <c r="F11" s="31"/>
      <c r="G11" s="31"/>
      <c r="H11" s="216" t="str">
        <f t="shared" si="7"/>
        <v/>
      </c>
      <c r="I11" s="226" t="str">
        <f t="shared" si="8"/>
        <v/>
      </c>
      <c r="J11" s="216" t="str">
        <f t="shared" si="9"/>
        <v/>
      </c>
      <c r="K11" s="218" t="str">
        <f t="shared" si="10"/>
        <v/>
      </c>
      <c r="M11" s="15"/>
      <c r="N11" s="15"/>
      <c r="O11" s="223" t="s">
        <v>224</v>
      </c>
      <c r="P11" s="220" t="str">
        <f t="shared" si="4"/>
        <v/>
      </c>
      <c r="Q11" s="221" t="str">
        <f>IF(S11&lt;&gt;"",IF(AND(ISNUMBER(S11),S11&gt;=0),"OK","INVALID MANUAL LOAD"),IF(COUNTIF(TCFloors[TC ID],O11)=0,"UNUSED",IF(COUNTIFS(TCFloors[TC ID],O11,TCFloors[Check],"&lt;&gt;OK")&gt;0,"INPUT REQUIRED","OK")))</f>
        <v>UNUSED</v>
      </c>
      <c r="R11" s="222" t="str">
        <f>IF(AND(COUNTIF(TCFloors[TC ID],O11)&gt;0,COUNTIFS(TCFloors[TC ID],O11,TCFloors[Check],"&lt;&gt;OK")=0),SUMIF(TCFloors[TC ID],O11,TCFloors[Floor Load]),"")</f>
        <v/>
      </c>
      <c r="S11" s="228"/>
      <c r="T11" s="202" t="str">
        <f t="shared" si="5"/>
        <v/>
      </c>
    </row>
    <row r="12" spans="1:20" ht="28.05" customHeight="1">
      <c r="A12" s="40"/>
      <c r="B12" s="41"/>
      <c r="C12" s="224" t="str">
        <f t="shared" si="6"/>
        <v/>
      </c>
      <c r="D12" s="31"/>
      <c r="E12" s="224" t="str">
        <f>IF(B12="","",IFERROR(IF(INDEX('Imposed Load'!$B$16:$B$68,MATCH(B12,'Imposed Load'!$A$16:$A$68,0))="LL-SPECIAL","",INDEX('Imposed Load'!$C$16:$C$68,MATCH(B12,'Imposed Load'!$A$16:$A$68,0))),""))</f>
        <v/>
      </c>
      <c r="F12" s="31"/>
      <c r="G12" s="31"/>
      <c r="H12" s="216" t="str">
        <f t="shared" si="7"/>
        <v/>
      </c>
      <c r="I12" s="226" t="str">
        <f t="shared" si="8"/>
        <v/>
      </c>
      <c r="J12" s="216" t="str">
        <f t="shared" si="9"/>
        <v/>
      </c>
      <c r="K12" s="218" t="str">
        <f t="shared" si="10"/>
        <v/>
      </c>
      <c r="M12" s="15"/>
      <c r="N12" s="15"/>
      <c r="O12" s="223" t="s">
        <v>225</v>
      </c>
      <c r="P12" s="220" t="str">
        <f t="shared" si="4"/>
        <v/>
      </c>
      <c r="Q12" s="221" t="str">
        <f>IF(S12&lt;&gt;"",IF(AND(ISNUMBER(S12),S12&gt;=0),"OK","INVALID MANUAL LOAD"),IF(COUNTIF(TCFloors[TC ID],O12)=0,"UNUSED",IF(COUNTIFS(TCFloors[TC ID],O12,TCFloors[Check],"&lt;&gt;OK")&gt;0,"INPUT REQUIRED","OK")))</f>
        <v>UNUSED</v>
      </c>
      <c r="R12" s="222" t="str">
        <f>IF(AND(COUNTIF(TCFloors[TC ID],O12)&gt;0,COUNTIFS(TCFloors[TC ID],O12,TCFloors[Check],"&lt;&gt;OK")=0),SUMIF(TCFloors[TC ID],O12,TCFloors[Floor Load]),"")</f>
        <v/>
      </c>
      <c r="S12" s="228"/>
      <c r="T12" s="202" t="str">
        <f t="shared" si="5"/>
        <v/>
      </c>
    </row>
    <row r="13" spans="1:20" ht="28.05" customHeight="1">
      <c r="A13" s="40"/>
      <c r="B13" s="41"/>
      <c r="C13" s="224" t="str">
        <f t="shared" si="6"/>
        <v/>
      </c>
      <c r="D13" s="31"/>
      <c r="E13" s="224" t="str">
        <f>IF(B13="","",IFERROR(IF(INDEX('Imposed Load'!$B$16:$B$68,MATCH(B13,'Imposed Load'!$A$16:$A$68,0))="LL-SPECIAL","",INDEX('Imposed Load'!$C$16:$C$68,MATCH(B13,'Imposed Load'!$A$16:$A$68,0))),""))</f>
        <v/>
      </c>
      <c r="F13" s="31"/>
      <c r="G13" s="31"/>
      <c r="H13" s="216" t="str">
        <f t="shared" si="7"/>
        <v/>
      </c>
      <c r="I13" s="226" t="str">
        <f t="shared" si="8"/>
        <v/>
      </c>
      <c r="J13" s="216" t="str">
        <f t="shared" si="9"/>
        <v/>
      </c>
      <c r="K13" s="218" t="str">
        <f t="shared" si="10"/>
        <v/>
      </c>
      <c r="M13" s="15"/>
      <c r="N13" s="15"/>
      <c r="O13" s="223" t="s">
        <v>226</v>
      </c>
      <c r="P13" s="220" t="str">
        <f t="shared" si="4"/>
        <v/>
      </c>
      <c r="Q13" s="221" t="str">
        <f>IF(S13&lt;&gt;"",IF(AND(ISNUMBER(S13),S13&gt;=0),"OK","INVALID MANUAL LOAD"),IF(COUNTIF(TCFloors[TC ID],O13)=0,"UNUSED",IF(COUNTIFS(TCFloors[TC ID],O13,TCFloors[Check],"&lt;&gt;OK")&gt;0,"INPUT REQUIRED","OK")))</f>
        <v>UNUSED</v>
      </c>
      <c r="R13" s="222" t="str">
        <f>IF(AND(COUNTIF(TCFloors[TC ID],O13)&gt;0,COUNTIFS(TCFloors[TC ID],O13,TCFloors[Check],"&lt;&gt;OK")=0),SUMIF(TCFloors[TC ID],O13,TCFloors[Floor Load]),"")</f>
        <v/>
      </c>
      <c r="S13" s="228"/>
      <c r="T13" s="202" t="str">
        <f t="shared" si="5"/>
        <v/>
      </c>
    </row>
    <row r="14" spans="1:20" ht="28.05" customHeight="1">
      <c r="A14" s="40"/>
      <c r="B14" s="41"/>
      <c r="C14" s="224" t="str">
        <f t="shared" si="6"/>
        <v/>
      </c>
      <c r="D14" s="31"/>
      <c r="E14" s="224" t="str">
        <f>IF(B14="","",IFERROR(IF(INDEX('Imposed Load'!$B$16:$B$68,MATCH(B14,'Imposed Load'!$A$16:$A$68,0))="LL-SPECIAL","",INDEX('Imposed Load'!$C$16:$C$68,MATCH(B14,'Imposed Load'!$A$16:$A$68,0))),""))</f>
        <v/>
      </c>
      <c r="F14" s="31"/>
      <c r="G14" s="31"/>
      <c r="H14" s="216" t="str">
        <f t="shared" si="7"/>
        <v/>
      </c>
      <c r="I14" s="226" t="str">
        <f t="shared" si="8"/>
        <v/>
      </c>
      <c r="J14" s="216" t="str">
        <f t="shared" si="9"/>
        <v/>
      </c>
      <c r="K14" s="218" t="str">
        <f t="shared" si="10"/>
        <v/>
      </c>
      <c r="M14" s="15"/>
      <c r="N14" s="15"/>
      <c r="O14" s="223" t="s">
        <v>227</v>
      </c>
      <c r="P14" s="220" t="str">
        <f t="shared" si="4"/>
        <v/>
      </c>
      <c r="Q14" s="221" t="str">
        <f>IF(S14&lt;&gt;"",IF(AND(ISNUMBER(S14),S14&gt;=0),"OK","INVALID MANUAL LOAD"),IF(COUNTIF(TCFloors[TC ID],O14)=0,"UNUSED",IF(COUNTIFS(TCFloors[TC ID],O14,TCFloors[Check],"&lt;&gt;OK")&gt;0,"INPUT REQUIRED","OK")))</f>
        <v>UNUSED</v>
      </c>
      <c r="R14" s="222" t="str">
        <f>IF(AND(COUNTIF(TCFloors[TC ID],O14)&gt;0,COUNTIFS(TCFloors[TC ID],O14,TCFloors[Check],"&lt;&gt;OK")=0),SUMIF(TCFloors[TC ID],O14,TCFloors[Floor Load]),"")</f>
        <v/>
      </c>
      <c r="S14" s="228"/>
      <c r="T14" s="202" t="str">
        <f t="shared" si="5"/>
        <v/>
      </c>
    </row>
    <row r="15" spans="1:20" ht="28.05" customHeight="1">
      <c r="A15" s="40"/>
      <c r="B15" s="41"/>
      <c r="C15" s="224" t="str">
        <f t="shared" si="6"/>
        <v/>
      </c>
      <c r="D15" s="31"/>
      <c r="E15" s="224" t="str">
        <f>IF(B15="","",IFERROR(IF(INDEX('Imposed Load'!$B$16:$B$68,MATCH(B15,'Imposed Load'!$A$16:$A$68,0))="LL-SPECIAL","",INDEX('Imposed Load'!$C$16:$C$68,MATCH(B15,'Imposed Load'!$A$16:$A$68,0))),""))</f>
        <v/>
      </c>
      <c r="F15" s="31"/>
      <c r="G15" s="31"/>
      <c r="H15" s="216" t="str">
        <f t="shared" si="7"/>
        <v/>
      </c>
      <c r="I15" s="226" t="str">
        <f t="shared" si="8"/>
        <v/>
      </c>
      <c r="J15" s="216" t="str">
        <f t="shared" si="9"/>
        <v/>
      </c>
      <c r="K15" s="218" t="str">
        <f t="shared" si="10"/>
        <v/>
      </c>
      <c r="M15" s="15"/>
      <c r="N15" s="15"/>
      <c r="O15" s="223" t="s">
        <v>228</v>
      </c>
      <c r="P15" s="220" t="str">
        <f t="shared" si="4"/>
        <v/>
      </c>
      <c r="Q15" s="221" t="str">
        <f>IF(S15&lt;&gt;"",IF(AND(ISNUMBER(S15),S15&gt;=0),"OK","INVALID MANUAL LOAD"),IF(COUNTIF(TCFloors[TC ID],O15)=0,"UNUSED",IF(COUNTIFS(TCFloors[TC ID],O15,TCFloors[Check],"&lt;&gt;OK")&gt;0,"INPUT REQUIRED","OK")))</f>
        <v>UNUSED</v>
      </c>
      <c r="R15" s="222" t="str">
        <f>IF(AND(COUNTIF(TCFloors[TC ID],O15)&gt;0,COUNTIFS(TCFloors[TC ID],O15,TCFloors[Check],"&lt;&gt;OK")=0),SUMIF(TCFloors[TC ID],O15,TCFloors[Floor Load]),"")</f>
        <v/>
      </c>
      <c r="S15" s="228"/>
      <c r="T15" s="202" t="str">
        <f t="shared" si="5"/>
        <v/>
      </c>
    </row>
    <row r="16" spans="1:20" ht="28.05" customHeight="1">
      <c r="A16" s="40"/>
      <c r="B16" s="41"/>
      <c r="C16" s="224" t="str">
        <f t="shared" si="6"/>
        <v/>
      </c>
      <c r="D16" s="31"/>
      <c r="E16" s="224" t="str">
        <f>IF(B16="","",IFERROR(IF(INDEX('Imposed Load'!$B$16:$B$68,MATCH(B16,'Imposed Load'!$A$16:$A$68,0))="LL-SPECIAL","",INDEX('Imposed Load'!$C$16:$C$68,MATCH(B16,'Imposed Load'!$A$16:$A$68,0))),""))</f>
        <v/>
      </c>
      <c r="F16" s="31"/>
      <c r="G16" s="31"/>
      <c r="H16" s="216" t="str">
        <f t="shared" si="7"/>
        <v/>
      </c>
      <c r="I16" s="226" t="str">
        <f t="shared" si="8"/>
        <v/>
      </c>
      <c r="J16" s="216" t="str">
        <f t="shared" si="9"/>
        <v/>
      </c>
      <c r="K16" s="218" t="str">
        <f t="shared" si="10"/>
        <v/>
      </c>
      <c r="M16" s="15"/>
      <c r="N16" s="15"/>
      <c r="O16" s="223" t="s">
        <v>229</v>
      </c>
      <c r="P16" s="220" t="str">
        <f t="shared" si="4"/>
        <v/>
      </c>
      <c r="Q16" s="221" t="str">
        <f>IF(S16&lt;&gt;"",IF(AND(ISNUMBER(S16),S16&gt;=0),"OK","INVALID MANUAL LOAD"),IF(COUNTIF(TCFloors[TC ID],O16)=0,"UNUSED",IF(COUNTIFS(TCFloors[TC ID],O16,TCFloors[Check],"&lt;&gt;OK")&gt;0,"INPUT REQUIRED","OK")))</f>
        <v>UNUSED</v>
      </c>
      <c r="R16" s="222" t="str">
        <f>IF(AND(COUNTIF(TCFloors[TC ID],O16)&gt;0,COUNTIFS(TCFloors[TC ID],O16,TCFloors[Check],"&lt;&gt;OK")=0),SUMIF(TCFloors[TC ID],O16,TCFloors[Floor Load]),"")</f>
        <v/>
      </c>
      <c r="S16" s="228"/>
      <c r="T16" s="202" t="str">
        <f t="shared" si="5"/>
        <v/>
      </c>
    </row>
    <row r="17" spans="1:20" ht="28.05" customHeight="1">
      <c r="A17" s="40"/>
      <c r="B17" s="41"/>
      <c r="C17" s="224" t="str">
        <f t="shared" si="6"/>
        <v/>
      </c>
      <c r="D17" s="31"/>
      <c r="E17" s="224" t="str">
        <f>IF(B17="","",IFERROR(IF(INDEX('Imposed Load'!$B$16:$B$68,MATCH(B17,'Imposed Load'!$A$16:$A$68,0))="LL-SPECIAL","",INDEX('Imposed Load'!$C$16:$C$68,MATCH(B17,'Imposed Load'!$A$16:$A$68,0))),""))</f>
        <v/>
      </c>
      <c r="F17" s="31"/>
      <c r="G17" s="31"/>
      <c r="H17" s="216" t="str">
        <f t="shared" si="7"/>
        <v/>
      </c>
      <c r="I17" s="226" t="str">
        <f t="shared" si="8"/>
        <v/>
      </c>
      <c r="J17" s="216" t="str">
        <f t="shared" si="9"/>
        <v/>
      </c>
      <c r="K17" s="218" t="str">
        <f t="shared" si="10"/>
        <v/>
      </c>
      <c r="M17" s="15"/>
      <c r="N17" s="15"/>
      <c r="O17" s="223" t="s">
        <v>230</v>
      </c>
      <c r="P17" s="220" t="str">
        <f t="shared" si="4"/>
        <v/>
      </c>
      <c r="Q17" s="221" t="str">
        <f>IF(S17&lt;&gt;"",IF(AND(ISNUMBER(S17),S17&gt;=0),"OK","INVALID MANUAL LOAD"),IF(COUNTIF(TCFloors[TC ID],O17)=0,"UNUSED",IF(COUNTIFS(TCFloors[TC ID],O17,TCFloors[Check],"&lt;&gt;OK")&gt;0,"INPUT REQUIRED","OK")))</f>
        <v>UNUSED</v>
      </c>
      <c r="R17" s="222" t="str">
        <f>IF(AND(COUNTIF(TCFloors[TC ID],O17)&gt;0,COUNTIFS(TCFloors[TC ID],O17,TCFloors[Check],"&lt;&gt;OK")=0),SUMIF(TCFloors[TC ID],O17,TCFloors[Floor Load]),"")</f>
        <v/>
      </c>
      <c r="S17" s="228"/>
      <c r="T17" s="202" t="str">
        <f t="shared" si="5"/>
        <v/>
      </c>
    </row>
    <row r="18" spans="1:20" ht="28.05" customHeight="1">
      <c r="A18" s="40"/>
      <c r="B18" s="41"/>
      <c r="C18" s="224" t="str">
        <f t="shared" si="6"/>
        <v/>
      </c>
      <c r="D18" s="31"/>
      <c r="E18" s="224" t="str">
        <f>IF(B18="","",IFERROR(IF(INDEX('Imposed Load'!$B$16:$B$68,MATCH(B18,'Imposed Load'!$A$16:$A$68,0))="LL-SPECIAL","",INDEX('Imposed Load'!$C$16:$C$68,MATCH(B18,'Imposed Load'!$A$16:$A$68,0))),""))</f>
        <v/>
      </c>
      <c r="F18" s="31"/>
      <c r="G18" s="31"/>
      <c r="H18" s="216" t="str">
        <f t="shared" si="7"/>
        <v/>
      </c>
      <c r="I18" s="226" t="str">
        <f t="shared" si="8"/>
        <v/>
      </c>
      <c r="J18" s="216" t="str">
        <f t="shared" si="9"/>
        <v/>
      </c>
      <c r="K18" s="218" t="str">
        <f t="shared" si="10"/>
        <v/>
      </c>
      <c r="M18" s="15"/>
      <c r="N18" s="15"/>
      <c r="O18" s="223" t="s">
        <v>231</v>
      </c>
      <c r="P18" s="220" t="str">
        <f t="shared" si="4"/>
        <v/>
      </c>
      <c r="Q18" s="221" t="str">
        <f>IF(S18&lt;&gt;"",IF(AND(ISNUMBER(S18),S18&gt;=0),"OK","INVALID MANUAL LOAD"),IF(COUNTIF(TCFloors[TC ID],O18)=0,"UNUSED",IF(COUNTIFS(TCFloors[TC ID],O18,TCFloors[Check],"&lt;&gt;OK")&gt;0,"INPUT REQUIRED","OK")))</f>
        <v>UNUSED</v>
      </c>
      <c r="R18" s="222" t="str">
        <f>IF(AND(COUNTIF(TCFloors[TC ID],O18)&gt;0,COUNTIFS(TCFloors[TC ID],O18,TCFloors[Check],"&lt;&gt;OK")=0),SUMIF(TCFloors[TC ID],O18,TCFloors[Floor Load]),"")</f>
        <v/>
      </c>
      <c r="S18" s="228"/>
      <c r="T18" s="202" t="str">
        <f t="shared" si="5"/>
        <v/>
      </c>
    </row>
    <row r="19" spans="1:20" ht="28.05" customHeight="1">
      <c r="A19" s="40"/>
      <c r="B19" s="41"/>
      <c r="C19" s="224" t="str">
        <f t="shared" si="6"/>
        <v/>
      </c>
      <c r="D19" s="31"/>
      <c r="E19" s="224" t="str">
        <f>IF(B19="","",IFERROR(IF(INDEX('Imposed Load'!$B$16:$B$68,MATCH(B19,'Imposed Load'!$A$16:$A$68,0))="LL-SPECIAL","",INDEX('Imposed Load'!$C$16:$C$68,MATCH(B19,'Imposed Load'!$A$16:$A$68,0))),""))</f>
        <v/>
      </c>
      <c r="F19" s="31"/>
      <c r="G19" s="31"/>
      <c r="H19" s="216" t="str">
        <f t="shared" si="7"/>
        <v/>
      </c>
      <c r="I19" s="226" t="str">
        <f t="shared" si="8"/>
        <v/>
      </c>
      <c r="J19" s="216" t="str">
        <f t="shared" si="9"/>
        <v/>
      </c>
      <c r="K19" s="218" t="str">
        <f t="shared" si="10"/>
        <v/>
      </c>
      <c r="M19" s="15"/>
      <c r="N19" s="15"/>
      <c r="O19" s="223" t="s">
        <v>232</v>
      </c>
      <c r="P19" s="220" t="str">
        <f t="shared" si="4"/>
        <v/>
      </c>
      <c r="Q19" s="221" t="str">
        <f>IF(S19&lt;&gt;"",IF(AND(ISNUMBER(S19),S19&gt;=0),"OK","INVALID MANUAL LOAD"),IF(COUNTIF(TCFloors[TC ID],O19)=0,"UNUSED",IF(COUNTIFS(TCFloors[TC ID],O19,TCFloors[Check],"&lt;&gt;OK")&gt;0,"INPUT REQUIRED","OK")))</f>
        <v>UNUSED</v>
      </c>
      <c r="R19" s="222" t="str">
        <f>IF(AND(COUNTIF(TCFloors[TC ID],O19)&gt;0,COUNTIFS(TCFloors[TC ID],O19,TCFloors[Check],"&lt;&gt;OK")=0),SUMIF(TCFloors[TC ID],O19,TCFloors[Floor Load]),"")</f>
        <v/>
      </c>
      <c r="S19" s="228"/>
      <c r="T19" s="202" t="str">
        <f t="shared" si="5"/>
        <v/>
      </c>
    </row>
    <row r="20" spans="1:20" ht="28.05" customHeight="1">
      <c r="A20" s="40"/>
      <c r="B20" s="41"/>
      <c r="C20" s="224" t="str">
        <f t="shared" si="6"/>
        <v/>
      </c>
      <c r="D20" s="31"/>
      <c r="E20" s="224" t="str">
        <f>IF(B20="","",IFERROR(IF(INDEX('Imposed Load'!$B$16:$B$68,MATCH(B20,'Imposed Load'!$A$16:$A$68,0))="LL-SPECIAL","",INDEX('Imposed Load'!$C$16:$C$68,MATCH(B20,'Imposed Load'!$A$16:$A$68,0))),""))</f>
        <v/>
      </c>
      <c r="F20" s="31"/>
      <c r="G20" s="31"/>
      <c r="H20" s="216" t="str">
        <f t="shared" si="7"/>
        <v/>
      </c>
      <c r="I20" s="226" t="str">
        <f t="shared" si="8"/>
        <v/>
      </c>
      <c r="J20" s="216" t="str">
        <f t="shared" si="9"/>
        <v/>
      </c>
      <c r="K20" s="218" t="str">
        <f t="shared" si="10"/>
        <v/>
      </c>
      <c r="M20" s="15"/>
      <c r="N20" s="15"/>
      <c r="O20" s="223" t="s">
        <v>233</v>
      </c>
      <c r="P20" s="220" t="str">
        <f t="shared" si="4"/>
        <v/>
      </c>
      <c r="Q20" s="221" t="str">
        <f>IF(S20&lt;&gt;"",IF(AND(ISNUMBER(S20),S20&gt;=0),"OK","INVALID MANUAL LOAD"),IF(COUNTIF(TCFloors[TC ID],O20)=0,"UNUSED",IF(COUNTIFS(TCFloors[TC ID],O20,TCFloors[Check],"&lt;&gt;OK")&gt;0,"INPUT REQUIRED","OK")))</f>
        <v>UNUSED</v>
      </c>
      <c r="R20" s="222" t="str">
        <f>IF(AND(COUNTIF(TCFloors[TC ID],O20)&gt;0,COUNTIFS(TCFloors[TC ID],O20,TCFloors[Check],"&lt;&gt;OK")=0),SUMIF(TCFloors[TC ID],O20,TCFloors[Floor Load]),"")</f>
        <v/>
      </c>
      <c r="S20" s="228"/>
      <c r="T20" s="202" t="str">
        <f t="shared" si="5"/>
        <v/>
      </c>
    </row>
    <row r="21" spans="1:20" ht="28.05" customHeight="1">
      <c r="A21" s="40"/>
      <c r="B21" s="41"/>
      <c r="C21" s="224" t="str">
        <f t="shared" si="6"/>
        <v/>
      </c>
      <c r="D21" s="31"/>
      <c r="E21" s="224" t="str">
        <f>IF(B21="","",IFERROR(IF(INDEX('Imposed Load'!$B$16:$B$68,MATCH(B21,'Imposed Load'!$A$16:$A$68,0))="LL-SPECIAL","",INDEX('Imposed Load'!$C$16:$C$68,MATCH(B21,'Imposed Load'!$A$16:$A$68,0))),""))</f>
        <v/>
      </c>
      <c r="F21" s="31"/>
      <c r="G21" s="31"/>
      <c r="H21" s="216" t="str">
        <f t="shared" si="7"/>
        <v/>
      </c>
      <c r="I21" s="226" t="str">
        <f t="shared" si="8"/>
        <v/>
      </c>
      <c r="J21" s="216" t="str">
        <f t="shared" si="9"/>
        <v/>
      </c>
      <c r="K21" s="218" t="str">
        <f t="shared" si="10"/>
        <v/>
      </c>
      <c r="M21" s="15"/>
      <c r="N21" s="15"/>
      <c r="O21" s="223" t="s">
        <v>234</v>
      </c>
      <c r="P21" s="220" t="str">
        <f t="shared" si="4"/>
        <v/>
      </c>
      <c r="Q21" s="221" t="str">
        <f>IF(S21&lt;&gt;"",IF(AND(ISNUMBER(S21),S21&gt;=0),"OK","INVALID MANUAL LOAD"),IF(COUNTIF(TCFloors[TC ID],O21)=0,"UNUSED",IF(COUNTIFS(TCFloors[TC ID],O21,TCFloors[Check],"&lt;&gt;OK")&gt;0,"INPUT REQUIRED","OK")))</f>
        <v>UNUSED</v>
      </c>
      <c r="R21" s="222" t="str">
        <f>IF(AND(COUNTIF(TCFloors[TC ID],O21)&gt;0,COUNTIFS(TCFloors[TC ID],O21,TCFloors[Check],"&lt;&gt;OK")=0),SUMIF(TCFloors[TC ID],O21,TCFloors[Floor Load]),"")</f>
        <v/>
      </c>
      <c r="S21" s="228"/>
      <c r="T21" s="202" t="str">
        <f t="shared" si="5"/>
        <v/>
      </c>
    </row>
    <row r="22" spans="1:20" ht="28.05" customHeight="1">
      <c r="A22" s="40"/>
      <c r="B22" s="41"/>
      <c r="C22" s="224" t="str">
        <f t="shared" si="6"/>
        <v/>
      </c>
      <c r="D22" s="31"/>
      <c r="E22" s="224" t="str">
        <f>IF(B22="","",IFERROR(IF(INDEX('Imposed Load'!$B$16:$B$68,MATCH(B22,'Imposed Load'!$A$16:$A$68,0))="LL-SPECIAL","",INDEX('Imposed Load'!$C$16:$C$68,MATCH(B22,'Imposed Load'!$A$16:$A$68,0))),""))</f>
        <v/>
      </c>
      <c r="F22" s="31"/>
      <c r="G22" s="31"/>
      <c r="H22" s="216" t="str">
        <f t="shared" si="7"/>
        <v/>
      </c>
      <c r="I22" s="226" t="str">
        <f t="shared" si="8"/>
        <v/>
      </c>
      <c r="J22" s="216" t="str">
        <f t="shared" si="9"/>
        <v/>
      </c>
      <c r="K22" s="218" t="str">
        <f t="shared" si="10"/>
        <v/>
      </c>
      <c r="M22" s="15"/>
      <c r="N22" s="15"/>
      <c r="O22" s="223" t="s">
        <v>235</v>
      </c>
      <c r="P22" s="220" t="str">
        <f t="shared" si="4"/>
        <v/>
      </c>
      <c r="Q22" s="221" t="str">
        <f>IF(S22&lt;&gt;"",IF(AND(ISNUMBER(S22),S22&gt;=0),"OK","INVALID MANUAL LOAD"),IF(COUNTIF(TCFloors[TC ID],O22)=0,"UNUSED",IF(COUNTIFS(TCFloors[TC ID],O22,TCFloors[Check],"&lt;&gt;OK")&gt;0,"INPUT REQUIRED","OK")))</f>
        <v>UNUSED</v>
      </c>
      <c r="R22" s="222" t="str">
        <f>IF(AND(COUNTIF(TCFloors[TC ID],O22)&gt;0,COUNTIFS(TCFloors[TC ID],O22,TCFloors[Check],"&lt;&gt;OK")=0),SUMIF(TCFloors[TC ID],O22,TCFloors[Floor Load]),"")</f>
        <v/>
      </c>
      <c r="S22" s="228"/>
      <c r="T22" s="202" t="str">
        <f t="shared" si="5"/>
        <v/>
      </c>
    </row>
    <row r="23" spans="1:20" ht="28.05" customHeight="1">
      <c r="A23" s="40"/>
      <c r="B23" s="41"/>
      <c r="C23" s="224" t="str">
        <f t="shared" si="6"/>
        <v/>
      </c>
      <c r="D23" s="31"/>
      <c r="E23" s="224" t="str">
        <f>IF(B23="","",IFERROR(IF(INDEX('Imposed Load'!$B$16:$B$68,MATCH(B23,'Imposed Load'!$A$16:$A$68,0))="LL-SPECIAL","",INDEX('Imposed Load'!$C$16:$C$68,MATCH(B23,'Imposed Load'!$A$16:$A$68,0))),""))</f>
        <v/>
      </c>
      <c r="F23" s="31"/>
      <c r="G23" s="31"/>
      <c r="H23" s="216" t="str">
        <f t="shared" si="7"/>
        <v/>
      </c>
      <c r="I23" s="226" t="str">
        <f t="shared" si="8"/>
        <v/>
      </c>
      <c r="J23" s="216" t="str">
        <f t="shared" si="9"/>
        <v/>
      </c>
      <c r="K23" s="218" t="str">
        <f t="shared" si="10"/>
        <v/>
      </c>
      <c r="M23" s="15"/>
      <c r="N23" s="15"/>
      <c r="O23" s="223" t="s">
        <v>236</v>
      </c>
      <c r="P23" s="220" t="str">
        <f t="shared" si="4"/>
        <v/>
      </c>
      <c r="Q23" s="221" t="str">
        <f>IF(S23&lt;&gt;"",IF(AND(ISNUMBER(S23),S23&gt;=0),"OK","INVALID MANUAL LOAD"),IF(COUNTIF(TCFloors[TC ID],O23)=0,"UNUSED",IF(COUNTIFS(TCFloors[TC ID],O23,TCFloors[Check],"&lt;&gt;OK")&gt;0,"INPUT REQUIRED","OK")))</f>
        <v>UNUSED</v>
      </c>
      <c r="R23" s="222" t="str">
        <f>IF(AND(COUNTIF(TCFloors[TC ID],O23)&gt;0,COUNTIFS(TCFloors[TC ID],O23,TCFloors[Check],"&lt;&gt;OK")=0),SUMIF(TCFloors[TC ID],O23,TCFloors[Floor Load]),"")</f>
        <v/>
      </c>
      <c r="S23" s="228"/>
      <c r="T23" s="202" t="str">
        <f t="shared" si="5"/>
        <v/>
      </c>
    </row>
    <row r="24" spans="1:20" ht="28.05" customHeight="1">
      <c r="A24" s="40"/>
      <c r="B24" s="41"/>
      <c r="C24" s="224" t="str">
        <f t="shared" si="6"/>
        <v/>
      </c>
      <c r="D24" s="31"/>
      <c r="E24" s="224" t="str">
        <f>IF(B24="","",IFERROR(IF(INDEX('Imposed Load'!$B$16:$B$68,MATCH(B24,'Imposed Load'!$A$16:$A$68,0))="LL-SPECIAL","",INDEX('Imposed Load'!$C$16:$C$68,MATCH(B24,'Imposed Load'!$A$16:$A$68,0))),""))</f>
        <v/>
      </c>
      <c r="F24" s="31"/>
      <c r="G24" s="31"/>
      <c r="H24" s="216" t="str">
        <f t="shared" si="7"/>
        <v/>
      </c>
      <c r="I24" s="226" t="str">
        <f t="shared" si="8"/>
        <v/>
      </c>
      <c r="J24" s="216" t="str">
        <f t="shared" si="9"/>
        <v/>
      </c>
      <c r="K24" s="218" t="str">
        <f t="shared" si="10"/>
        <v/>
      </c>
      <c r="M24" s="15"/>
      <c r="N24" s="15"/>
      <c r="O24" s="223" t="s">
        <v>237</v>
      </c>
      <c r="P24" s="220" t="str">
        <f t="shared" si="4"/>
        <v/>
      </c>
      <c r="Q24" s="221" t="str">
        <f>IF(S24&lt;&gt;"",IF(AND(ISNUMBER(S24),S24&gt;=0),"OK","INVALID MANUAL LOAD"),IF(COUNTIF(TCFloors[TC ID],O24)=0,"UNUSED",IF(COUNTIFS(TCFloors[TC ID],O24,TCFloors[Check],"&lt;&gt;OK")&gt;0,"INPUT REQUIRED","OK")))</f>
        <v>UNUSED</v>
      </c>
      <c r="R24" s="222" t="str">
        <f>IF(AND(COUNTIF(TCFloors[TC ID],O24)&gt;0,COUNTIFS(TCFloors[TC ID],O24,TCFloors[Check],"&lt;&gt;OK")=0),SUMIF(TCFloors[TC ID],O24,TCFloors[Floor Load]),"")</f>
        <v/>
      </c>
      <c r="S24" s="228"/>
      <c r="T24" s="202" t="str">
        <f t="shared" si="5"/>
        <v/>
      </c>
    </row>
    <row r="25" spans="1:20" ht="28.05" customHeight="1">
      <c r="A25" s="40"/>
      <c r="B25" s="41"/>
      <c r="C25" s="224" t="str">
        <f t="shared" si="6"/>
        <v/>
      </c>
      <c r="D25" s="31"/>
      <c r="E25" s="224" t="str">
        <f>IF(B25="","",IFERROR(IF(INDEX('Imposed Load'!$B$16:$B$68,MATCH(B25,'Imposed Load'!$A$16:$A$68,0))="LL-SPECIAL","",INDEX('Imposed Load'!$C$16:$C$68,MATCH(B25,'Imposed Load'!$A$16:$A$68,0))),""))</f>
        <v/>
      </c>
      <c r="F25" s="31"/>
      <c r="G25" s="31"/>
      <c r="H25" s="216" t="str">
        <f t="shared" si="7"/>
        <v/>
      </c>
      <c r="I25" s="226" t="str">
        <f t="shared" si="8"/>
        <v/>
      </c>
      <c r="J25" s="216" t="str">
        <f t="shared" si="9"/>
        <v/>
      </c>
      <c r="K25" s="218" t="str">
        <f t="shared" si="10"/>
        <v/>
      </c>
      <c r="M25" s="15"/>
      <c r="N25" s="15"/>
      <c r="O25" s="223" t="s">
        <v>238</v>
      </c>
      <c r="P25" s="220" t="str">
        <f t="shared" si="4"/>
        <v/>
      </c>
      <c r="Q25" s="221" t="str">
        <f>IF(S25&lt;&gt;"",IF(AND(ISNUMBER(S25),S25&gt;=0),"OK","INVALID MANUAL LOAD"),IF(COUNTIF(TCFloors[TC ID],O25)=0,"UNUSED",IF(COUNTIFS(TCFloors[TC ID],O25,TCFloors[Check],"&lt;&gt;OK")&gt;0,"INPUT REQUIRED","OK")))</f>
        <v>UNUSED</v>
      </c>
      <c r="R25" s="222" t="str">
        <f>IF(AND(COUNTIF(TCFloors[TC ID],O25)&gt;0,COUNTIFS(TCFloors[TC ID],O25,TCFloors[Check],"&lt;&gt;OK")=0),SUMIF(TCFloors[TC ID],O25,TCFloors[Floor Load]),"")</f>
        <v/>
      </c>
      <c r="S25" s="228"/>
      <c r="T25" s="202" t="str">
        <f t="shared" si="5"/>
        <v/>
      </c>
    </row>
    <row r="26" spans="1:20" ht="28.05" customHeight="1">
      <c r="A26" s="40"/>
      <c r="B26" s="41"/>
      <c r="C26" s="224" t="str">
        <f t="shared" si="6"/>
        <v/>
      </c>
      <c r="D26" s="31"/>
      <c r="E26" s="224" t="str">
        <f>IF(B26="","",IFERROR(IF(INDEX('Imposed Load'!$B$16:$B$68,MATCH(B26,'Imposed Load'!$A$16:$A$68,0))="LL-SPECIAL","",INDEX('Imposed Load'!$C$16:$C$68,MATCH(B26,'Imposed Load'!$A$16:$A$68,0))),""))</f>
        <v/>
      </c>
      <c r="F26" s="31"/>
      <c r="G26" s="31"/>
      <c r="H26" s="216" t="str">
        <f t="shared" si="7"/>
        <v/>
      </c>
      <c r="I26" s="226" t="str">
        <f t="shared" si="8"/>
        <v/>
      </c>
      <c r="J26" s="216" t="str">
        <f t="shared" si="9"/>
        <v/>
      </c>
      <c r="K26" s="218" t="str">
        <f t="shared" si="10"/>
        <v/>
      </c>
      <c r="M26" s="15"/>
      <c r="N26" s="15"/>
      <c r="O26" s="223" t="s">
        <v>239</v>
      </c>
      <c r="P26" s="220" t="str">
        <f t="shared" si="4"/>
        <v/>
      </c>
      <c r="Q26" s="221" t="str">
        <f>IF(S26&lt;&gt;"",IF(AND(ISNUMBER(S26),S26&gt;=0),"OK","INVALID MANUAL LOAD"),IF(COUNTIF(TCFloors[TC ID],O26)=0,"UNUSED",IF(COUNTIFS(TCFloors[TC ID],O26,TCFloors[Check],"&lt;&gt;OK")&gt;0,"INPUT REQUIRED","OK")))</f>
        <v>UNUSED</v>
      </c>
      <c r="R26" s="222" t="str">
        <f>IF(AND(COUNTIF(TCFloors[TC ID],O26)&gt;0,COUNTIFS(TCFloors[TC ID],O26,TCFloors[Check],"&lt;&gt;OK")=0),SUMIF(TCFloors[TC ID],O26,TCFloors[Floor Load]),"")</f>
        <v/>
      </c>
      <c r="S26" s="228"/>
      <c r="T26" s="202" t="str">
        <f t="shared" si="5"/>
        <v/>
      </c>
    </row>
    <row r="27" spans="1:20" ht="28.05" customHeight="1">
      <c r="A27" s="40"/>
      <c r="B27" s="41"/>
      <c r="C27" s="224" t="str">
        <f t="shared" si="6"/>
        <v/>
      </c>
      <c r="D27" s="31"/>
      <c r="E27" s="224" t="str">
        <f>IF(B27="","",IFERROR(IF(INDEX('Imposed Load'!$B$16:$B$68,MATCH(B27,'Imposed Load'!$A$16:$A$68,0))="LL-SPECIAL","",INDEX('Imposed Load'!$C$16:$C$68,MATCH(B27,'Imposed Load'!$A$16:$A$68,0))),""))</f>
        <v/>
      </c>
      <c r="F27" s="31"/>
      <c r="G27" s="31"/>
      <c r="H27" s="216" t="str">
        <f t="shared" si="7"/>
        <v/>
      </c>
      <c r="I27" s="226" t="str">
        <f t="shared" si="8"/>
        <v/>
      </c>
      <c r="J27" s="216" t="str">
        <f t="shared" si="9"/>
        <v/>
      </c>
      <c r="K27" s="218" t="str">
        <f t="shared" si="10"/>
        <v/>
      </c>
      <c r="M27" s="15"/>
      <c r="N27" s="15"/>
      <c r="O27" s="223" t="s">
        <v>240</v>
      </c>
      <c r="P27" s="220" t="str">
        <f t="shared" si="4"/>
        <v/>
      </c>
      <c r="Q27" s="221" t="str">
        <f>IF(S27&lt;&gt;"",IF(AND(ISNUMBER(S27),S27&gt;=0),"OK","INVALID MANUAL LOAD"),IF(COUNTIF(TCFloors[TC ID],O27)=0,"UNUSED",IF(COUNTIFS(TCFloors[TC ID],O27,TCFloors[Check],"&lt;&gt;OK")&gt;0,"INPUT REQUIRED","OK")))</f>
        <v>UNUSED</v>
      </c>
      <c r="R27" s="222" t="str">
        <f>IF(AND(COUNTIF(TCFloors[TC ID],O27)&gt;0,COUNTIFS(TCFloors[TC ID],O27,TCFloors[Check],"&lt;&gt;OK")=0),SUMIF(TCFloors[TC ID],O27,TCFloors[Floor Load]),"")</f>
        <v/>
      </c>
      <c r="S27" s="228"/>
      <c r="T27" s="202" t="str">
        <f t="shared" si="5"/>
        <v/>
      </c>
    </row>
    <row r="28" spans="1:20" ht="28.05" customHeight="1">
      <c r="A28" s="40"/>
      <c r="B28" s="41"/>
      <c r="C28" s="224" t="str">
        <f t="shared" si="6"/>
        <v/>
      </c>
      <c r="D28" s="31"/>
      <c r="E28" s="224" t="str">
        <f>IF(B28="","",IFERROR(IF(INDEX('Imposed Load'!$B$16:$B$68,MATCH(B28,'Imposed Load'!$A$16:$A$68,0))="LL-SPECIAL","",INDEX('Imposed Load'!$C$16:$C$68,MATCH(B28,'Imposed Load'!$A$16:$A$68,0))),""))</f>
        <v/>
      </c>
      <c r="F28" s="31"/>
      <c r="G28" s="31"/>
      <c r="H28" s="216" t="str">
        <f t="shared" si="7"/>
        <v/>
      </c>
      <c r="I28" s="226" t="str">
        <f t="shared" si="8"/>
        <v/>
      </c>
      <c r="J28" s="216" t="str">
        <f t="shared" si="9"/>
        <v/>
      </c>
      <c r="K28" s="218" t="str">
        <f t="shared" si="10"/>
        <v/>
      </c>
      <c r="M28" s="15"/>
      <c r="N28" s="15"/>
      <c r="O28" s="223" t="s">
        <v>241</v>
      </c>
      <c r="P28" s="220" t="str">
        <f t="shared" si="4"/>
        <v/>
      </c>
      <c r="Q28" s="221" t="str">
        <f>IF(S28&lt;&gt;"",IF(AND(ISNUMBER(S28),S28&gt;=0),"OK","INVALID MANUAL LOAD"),IF(COUNTIF(TCFloors[TC ID],O28)=0,"UNUSED",IF(COUNTIFS(TCFloors[TC ID],O28,TCFloors[Check],"&lt;&gt;OK")&gt;0,"INPUT REQUIRED","OK")))</f>
        <v>UNUSED</v>
      </c>
      <c r="R28" s="222" t="str">
        <f>IF(AND(COUNTIF(TCFloors[TC ID],O28)&gt;0,COUNTIFS(TCFloors[TC ID],O28,TCFloors[Check],"&lt;&gt;OK")=0),SUMIF(TCFloors[TC ID],O28,TCFloors[Floor Load]),"")</f>
        <v/>
      </c>
      <c r="S28" s="228"/>
      <c r="T28" s="202" t="str">
        <f t="shared" si="5"/>
        <v/>
      </c>
    </row>
    <row r="29" spans="1:20" ht="28.05" customHeight="1">
      <c r="A29" s="40"/>
      <c r="B29" s="41"/>
      <c r="C29" s="224" t="str">
        <f t="shared" si="6"/>
        <v/>
      </c>
      <c r="D29" s="31"/>
      <c r="E29" s="224" t="str">
        <f>IF(B29="","",IFERROR(IF(INDEX('Imposed Load'!$B$16:$B$68,MATCH(B29,'Imposed Load'!$A$16:$A$68,0))="LL-SPECIAL","",INDEX('Imposed Load'!$C$16:$C$68,MATCH(B29,'Imposed Load'!$A$16:$A$68,0))),""))</f>
        <v/>
      </c>
      <c r="F29" s="31"/>
      <c r="G29" s="31"/>
      <c r="H29" s="216" t="str">
        <f t="shared" si="7"/>
        <v/>
      </c>
      <c r="I29" s="226" t="str">
        <f t="shared" si="8"/>
        <v/>
      </c>
      <c r="J29" s="216" t="str">
        <f t="shared" si="9"/>
        <v/>
      </c>
      <c r="K29" s="218" t="str">
        <f t="shared" si="10"/>
        <v/>
      </c>
      <c r="M29" s="15"/>
      <c r="N29" s="15"/>
      <c r="O29" s="223" t="s">
        <v>242</v>
      </c>
      <c r="P29" s="220" t="str">
        <f t="shared" si="4"/>
        <v/>
      </c>
      <c r="Q29" s="221" t="str">
        <f>IF(S29&lt;&gt;"",IF(AND(ISNUMBER(S29),S29&gt;=0),"OK","INVALID MANUAL LOAD"),IF(COUNTIF(TCFloors[TC ID],O29)=0,"UNUSED",IF(COUNTIFS(TCFloors[TC ID],O29,TCFloors[Check],"&lt;&gt;OK")&gt;0,"INPUT REQUIRED","OK")))</f>
        <v>UNUSED</v>
      </c>
      <c r="R29" s="222" t="str">
        <f>IF(AND(COUNTIF(TCFloors[TC ID],O29)&gt;0,COUNTIFS(TCFloors[TC ID],O29,TCFloors[Check],"&lt;&gt;OK")=0),SUMIF(TCFloors[TC ID],O29,TCFloors[Floor Load]),"")</f>
        <v/>
      </c>
      <c r="S29" s="228"/>
      <c r="T29" s="202" t="str">
        <f t="shared" si="5"/>
        <v/>
      </c>
    </row>
    <row r="30" spans="1:20" ht="28.05" customHeight="1">
      <c r="A30" s="40"/>
      <c r="B30" s="41"/>
      <c r="C30" s="224" t="str">
        <f t="shared" si="6"/>
        <v/>
      </c>
      <c r="D30" s="31"/>
      <c r="E30" s="224" t="str">
        <f>IF(B30="","",IFERROR(IF(INDEX('Imposed Load'!$B$16:$B$68,MATCH(B30,'Imposed Load'!$A$16:$A$68,0))="LL-SPECIAL","",INDEX('Imposed Load'!$C$16:$C$68,MATCH(B30,'Imposed Load'!$A$16:$A$68,0))),""))</f>
        <v/>
      </c>
      <c r="F30" s="31"/>
      <c r="G30" s="31"/>
      <c r="H30" s="216" t="str">
        <f t="shared" si="7"/>
        <v/>
      </c>
      <c r="I30" s="226" t="str">
        <f t="shared" si="8"/>
        <v/>
      </c>
      <c r="J30" s="216" t="str">
        <f t="shared" si="9"/>
        <v/>
      </c>
      <c r="K30" s="218" t="str">
        <f t="shared" si="10"/>
        <v/>
      </c>
      <c r="M30" s="15"/>
      <c r="N30" s="15"/>
      <c r="O30" s="223" t="s">
        <v>243</v>
      </c>
      <c r="P30" s="220" t="str">
        <f t="shared" si="4"/>
        <v/>
      </c>
      <c r="Q30" s="221" t="str">
        <f>IF(S30&lt;&gt;"",IF(AND(ISNUMBER(S30),S30&gt;=0),"OK","INVALID MANUAL LOAD"),IF(COUNTIF(TCFloors[TC ID],O30)=0,"UNUSED",IF(COUNTIFS(TCFloors[TC ID],O30,TCFloors[Check],"&lt;&gt;OK")&gt;0,"INPUT REQUIRED","OK")))</f>
        <v>UNUSED</v>
      </c>
      <c r="R30" s="222" t="str">
        <f>IF(AND(COUNTIF(TCFloors[TC ID],O30)&gt;0,COUNTIFS(TCFloors[TC ID],O30,TCFloors[Check],"&lt;&gt;OK")=0),SUMIF(TCFloors[TC ID],O30,TCFloors[Floor Load]),"")</f>
        <v/>
      </c>
      <c r="S30" s="228"/>
      <c r="T30" s="202" t="str">
        <f t="shared" si="5"/>
        <v/>
      </c>
    </row>
    <row r="31" spans="1:20" ht="28.05" customHeight="1">
      <c r="A31" s="40"/>
      <c r="B31" s="41"/>
      <c r="C31" s="224" t="str">
        <f t="shared" si="6"/>
        <v/>
      </c>
      <c r="D31" s="31"/>
      <c r="E31" s="224" t="str">
        <f>IF(B31="","",IFERROR(IF(INDEX('Imposed Load'!$B$16:$B$68,MATCH(B31,'Imposed Load'!$A$16:$A$68,0))="LL-SPECIAL","",INDEX('Imposed Load'!$C$16:$C$68,MATCH(B31,'Imposed Load'!$A$16:$A$68,0))),""))</f>
        <v/>
      </c>
      <c r="F31" s="31"/>
      <c r="G31" s="31"/>
      <c r="H31" s="216" t="str">
        <f t="shared" si="7"/>
        <v/>
      </c>
      <c r="I31" s="226" t="str">
        <f t="shared" si="8"/>
        <v/>
      </c>
      <c r="J31" s="216" t="str">
        <f t="shared" si="9"/>
        <v/>
      </c>
      <c r="K31" s="218" t="str">
        <f t="shared" si="10"/>
        <v/>
      </c>
      <c r="M31" s="15"/>
      <c r="N31" s="15"/>
      <c r="O31" s="223" t="s">
        <v>244</v>
      </c>
      <c r="P31" s="220" t="str">
        <f t="shared" si="4"/>
        <v/>
      </c>
      <c r="Q31" s="221" t="str">
        <f>IF(S31&lt;&gt;"",IF(AND(ISNUMBER(S31),S31&gt;=0),"OK","INVALID MANUAL LOAD"),IF(COUNTIF(TCFloors[TC ID],O31)=0,"UNUSED",IF(COUNTIFS(TCFloors[TC ID],O31,TCFloors[Check],"&lt;&gt;OK")&gt;0,"INPUT REQUIRED","OK")))</f>
        <v>UNUSED</v>
      </c>
      <c r="R31" s="222" t="str">
        <f>IF(AND(COUNTIF(TCFloors[TC ID],O31)&gt;0,COUNTIFS(TCFloors[TC ID],O31,TCFloors[Check],"&lt;&gt;OK")=0),SUMIF(TCFloors[TC ID],O31,TCFloors[Floor Load]),"")</f>
        <v/>
      </c>
      <c r="S31" s="228"/>
      <c r="T31" s="202" t="str">
        <f t="shared" si="5"/>
        <v/>
      </c>
    </row>
    <row r="32" spans="1:20" ht="28.05" customHeight="1">
      <c r="A32" s="40"/>
      <c r="B32" s="41"/>
      <c r="C32" s="224" t="str">
        <f t="shared" si="6"/>
        <v/>
      </c>
      <c r="D32" s="31"/>
      <c r="E32" s="224" t="str">
        <f>IF(B32="","",IFERROR(IF(INDEX('Imposed Load'!$B$16:$B$68,MATCH(B32,'Imposed Load'!$A$16:$A$68,0))="LL-SPECIAL","",INDEX('Imposed Load'!$C$16:$C$68,MATCH(B32,'Imposed Load'!$A$16:$A$68,0))),""))</f>
        <v/>
      </c>
      <c r="F32" s="31"/>
      <c r="G32" s="31"/>
      <c r="H32" s="216" t="str">
        <f t="shared" si="7"/>
        <v/>
      </c>
      <c r="I32" s="226" t="str">
        <f t="shared" si="8"/>
        <v/>
      </c>
      <c r="J32" s="216" t="str">
        <f t="shared" si="9"/>
        <v/>
      </c>
      <c r="K32" s="218" t="str">
        <f t="shared" si="10"/>
        <v/>
      </c>
      <c r="M32" s="15"/>
      <c r="N32" s="15"/>
      <c r="O32" s="223" t="s">
        <v>245</v>
      </c>
      <c r="P32" s="220" t="str">
        <f t="shared" si="4"/>
        <v/>
      </c>
      <c r="Q32" s="221" t="str">
        <f>IF(S32&lt;&gt;"",IF(AND(ISNUMBER(S32),S32&gt;=0),"OK","INVALID MANUAL LOAD"),IF(COUNTIF(TCFloors[TC ID],O32)=0,"UNUSED",IF(COUNTIFS(TCFloors[TC ID],O32,TCFloors[Check],"&lt;&gt;OK")&gt;0,"INPUT REQUIRED","OK")))</f>
        <v>UNUSED</v>
      </c>
      <c r="R32" s="222" t="str">
        <f>IF(AND(COUNTIF(TCFloors[TC ID],O32)&gt;0,COUNTIFS(TCFloors[TC ID],O32,TCFloors[Check],"&lt;&gt;OK")=0),SUMIF(TCFloors[TC ID],O32,TCFloors[Floor Load]),"")</f>
        <v/>
      </c>
      <c r="S32" s="228"/>
      <c r="T32" s="202" t="str">
        <f t="shared" si="5"/>
        <v/>
      </c>
    </row>
    <row r="33" spans="1:20" ht="28.05" customHeight="1">
      <c r="A33" s="40"/>
      <c r="B33" s="41"/>
      <c r="C33" s="224" t="str">
        <f t="shared" si="6"/>
        <v/>
      </c>
      <c r="D33" s="31"/>
      <c r="E33" s="224" t="str">
        <f>IF(B33="","",IFERROR(IF(INDEX('Imposed Load'!$B$16:$B$68,MATCH(B33,'Imposed Load'!$A$16:$A$68,0))="LL-SPECIAL","",INDEX('Imposed Load'!$C$16:$C$68,MATCH(B33,'Imposed Load'!$A$16:$A$68,0))),""))</f>
        <v/>
      </c>
      <c r="F33" s="31"/>
      <c r="G33" s="31"/>
      <c r="H33" s="216" t="str">
        <f t="shared" si="7"/>
        <v/>
      </c>
      <c r="I33" s="226" t="str">
        <f t="shared" si="8"/>
        <v/>
      </c>
      <c r="J33" s="216" t="str">
        <f t="shared" si="9"/>
        <v/>
      </c>
      <c r="K33" s="218" t="str">
        <f t="shared" si="10"/>
        <v/>
      </c>
      <c r="M33" s="15"/>
      <c r="N33" s="15"/>
      <c r="O33" s="223" t="s">
        <v>246</v>
      </c>
      <c r="P33" s="220" t="str">
        <f t="shared" si="4"/>
        <v/>
      </c>
      <c r="Q33" s="221" t="str">
        <f>IF(S33&lt;&gt;"",IF(AND(ISNUMBER(S33),S33&gt;=0),"OK","INVALID MANUAL LOAD"),IF(COUNTIF(TCFloors[TC ID],O33)=0,"UNUSED",IF(COUNTIFS(TCFloors[TC ID],O33,TCFloors[Check],"&lt;&gt;OK")&gt;0,"INPUT REQUIRED","OK")))</f>
        <v>UNUSED</v>
      </c>
      <c r="R33" s="222" t="str">
        <f>IF(AND(COUNTIF(TCFloors[TC ID],O33)&gt;0,COUNTIFS(TCFloors[TC ID],O33,TCFloors[Check],"&lt;&gt;OK")=0),SUMIF(TCFloors[TC ID],O33,TCFloors[Floor Load]),"")</f>
        <v/>
      </c>
      <c r="S33" s="228"/>
      <c r="T33" s="202" t="str">
        <f t="shared" si="5"/>
        <v/>
      </c>
    </row>
    <row r="34" spans="1:20" ht="28.05" customHeight="1">
      <c r="A34" s="40"/>
      <c r="B34" s="41"/>
      <c r="C34" s="224" t="str">
        <f t="shared" si="6"/>
        <v/>
      </c>
      <c r="D34" s="31"/>
      <c r="E34" s="224" t="str">
        <f>IF(B34="","",IFERROR(IF(INDEX('Imposed Load'!$B$16:$B$68,MATCH(B34,'Imposed Load'!$A$16:$A$68,0))="LL-SPECIAL","",INDEX('Imposed Load'!$C$16:$C$68,MATCH(B34,'Imposed Load'!$A$16:$A$68,0))),""))</f>
        <v/>
      </c>
      <c r="F34" s="31"/>
      <c r="G34" s="31"/>
      <c r="H34" s="216" t="str">
        <f t="shared" si="7"/>
        <v/>
      </c>
      <c r="I34" s="226" t="str">
        <f t="shared" si="8"/>
        <v/>
      </c>
      <c r="J34" s="216" t="str">
        <f t="shared" si="9"/>
        <v/>
      </c>
      <c r="K34" s="218" t="str">
        <f t="shared" si="10"/>
        <v/>
      </c>
      <c r="M34" s="15"/>
      <c r="N34" s="15"/>
      <c r="O34" s="223" t="s">
        <v>247</v>
      </c>
      <c r="P34" s="220" t="str">
        <f t="shared" si="4"/>
        <v/>
      </c>
      <c r="Q34" s="221" t="str">
        <f>IF(S34&lt;&gt;"",IF(AND(ISNUMBER(S34),S34&gt;=0),"OK","INVALID MANUAL LOAD"),IF(COUNTIF(TCFloors[TC ID],O34)=0,"UNUSED",IF(COUNTIFS(TCFloors[TC ID],O34,TCFloors[Check],"&lt;&gt;OK")&gt;0,"INPUT REQUIRED","OK")))</f>
        <v>UNUSED</v>
      </c>
      <c r="R34" s="222" t="str">
        <f>IF(AND(COUNTIF(TCFloors[TC ID],O34)&gt;0,COUNTIFS(TCFloors[TC ID],O34,TCFloors[Check],"&lt;&gt;OK")=0),SUMIF(TCFloors[TC ID],O34,TCFloors[Floor Load]),"")</f>
        <v/>
      </c>
      <c r="S34" s="228"/>
      <c r="T34" s="202" t="str">
        <f t="shared" si="5"/>
        <v/>
      </c>
    </row>
    <row r="35" spans="1:20" ht="28.05" customHeight="1">
      <c r="A35" s="40"/>
      <c r="B35" s="41"/>
      <c r="C35" s="224" t="str">
        <f t="shared" si="6"/>
        <v/>
      </c>
      <c r="D35" s="31"/>
      <c r="E35" s="224" t="str">
        <f>IF(B35="","",IFERROR(IF(INDEX('Imposed Load'!$B$16:$B$68,MATCH(B35,'Imposed Load'!$A$16:$A$68,0))="LL-SPECIAL","",INDEX('Imposed Load'!$C$16:$C$68,MATCH(B35,'Imposed Load'!$A$16:$A$68,0))),""))</f>
        <v/>
      </c>
      <c r="F35" s="31"/>
      <c r="G35" s="31"/>
      <c r="H35" s="216" t="str">
        <f t="shared" si="7"/>
        <v/>
      </c>
      <c r="I35" s="226" t="str">
        <f t="shared" si="8"/>
        <v/>
      </c>
      <c r="J35" s="216" t="str">
        <f t="shared" si="9"/>
        <v/>
      </c>
      <c r="K35" s="218" t="str">
        <f t="shared" si="10"/>
        <v/>
      </c>
      <c r="M35" s="15"/>
      <c r="N35" s="15"/>
      <c r="O35" s="223" t="s">
        <v>248</v>
      </c>
      <c r="P35" s="220" t="str">
        <f t="shared" si="4"/>
        <v/>
      </c>
      <c r="Q35" s="221" t="str">
        <f>IF(S35&lt;&gt;"",IF(AND(ISNUMBER(S35),S35&gt;=0),"OK","INVALID MANUAL LOAD"),IF(COUNTIF(TCFloors[TC ID],O35)=0,"UNUSED",IF(COUNTIFS(TCFloors[TC ID],O35,TCFloors[Check],"&lt;&gt;OK")&gt;0,"INPUT REQUIRED","OK")))</f>
        <v>UNUSED</v>
      </c>
      <c r="R35" s="222" t="str">
        <f>IF(AND(COUNTIF(TCFloors[TC ID],O35)&gt;0,COUNTIFS(TCFloors[TC ID],O35,TCFloors[Check],"&lt;&gt;OK")=0),SUMIF(TCFloors[TC ID],O35,TCFloors[Floor Load]),"")</f>
        <v/>
      </c>
      <c r="S35" s="228"/>
      <c r="T35" s="202" t="str">
        <f t="shared" si="5"/>
        <v/>
      </c>
    </row>
    <row r="36" spans="1:20" ht="28.05" customHeight="1">
      <c r="A36" s="40"/>
      <c r="B36" s="41"/>
      <c r="C36" s="224" t="str">
        <f t="shared" si="6"/>
        <v/>
      </c>
      <c r="D36" s="31"/>
      <c r="E36" s="224" t="str">
        <f>IF(B36="","",IFERROR(IF(INDEX('Imposed Load'!$B$16:$B$68,MATCH(B36,'Imposed Load'!$A$16:$A$68,0))="LL-SPECIAL","",INDEX('Imposed Load'!$C$16:$C$68,MATCH(B36,'Imposed Load'!$A$16:$A$68,0))),""))</f>
        <v/>
      </c>
      <c r="F36" s="31"/>
      <c r="G36" s="31"/>
      <c r="H36" s="216" t="str">
        <f t="shared" si="7"/>
        <v/>
      </c>
      <c r="I36" s="226" t="str">
        <f t="shared" si="8"/>
        <v/>
      </c>
      <c r="J36" s="216" t="str">
        <f t="shared" si="9"/>
        <v/>
      </c>
      <c r="K36" s="218" t="str">
        <f t="shared" si="10"/>
        <v/>
      </c>
      <c r="M36" s="15"/>
      <c r="N36" s="15"/>
      <c r="O36" s="223" t="s">
        <v>249</v>
      </c>
      <c r="P36" s="220" t="str">
        <f t="shared" si="4"/>
        <v/>
      </c>
      <c r="Q36" s="221" t="str">
        <f>IF(S36&lt;&gt;"",IF(AND(ISNUMBER(S36),S36&gt;=0),"OK","INVALID MANUAL LOAD"),IF(COUNTIF(TCFloors[TC ID],O36)=0,"UNUSED",IF(COUNTIFS(TCFloors[TC ID],O36,TCFloors[Check],"&lt;&gt;OK")&gt;0,"INPUT REQUIRED","OK")))</f>
        <v>UNUSED</v>
      </c>
      <c r="R36" s="222" t="str">
        <f>IF(AND(COUNTIF(TCFloors[TC ID],O36)&gt;0,COUNTIFS(TCFloors[TC ID],O36,TCFloors[Check],"&lt;&gt;OK")=0),SUMIF(TCFloors[TC ID],O36,TCFloors[Floor Load]),"")</f>
        <v/>
      </c>
      <c r="S36" s="228"/>
      <c r="T36" s="202" t="str">
        <f t="shared" si="5"/>
        <v/>
      </c>
    </row>
    <row r="37" spans="1:20" ht="28.05" customHeight="1">
      <c r="A37" s="40"/>
      <c r="B37" s="41"/>
      <c r="C37" s="224" t="str">
        <f t="shared" si="6"/>
        <v/>
      </c>
      <c r="D37" s="31"/>
      <c r="E37" s="224" t="str">
        <f>IF(B37="","",IFERROR(IF(INDEX('Imposed Load'!$B$16:$B$68,MATCH(B37,'Imposed Load'!$A$16:$A$68,0))="LL-SPECIAL","",INDEX('Imposed Load'!$C$16:$C$68,MATCH(B37,'Imposed Load'!$A$16:$A$68,0))),""))</f>
        <v/>
      </c>
      <c r="F37" s="31"/>
      <c r="G37" s="31"/>
      <c r="H37" s="216" t="str">
        <f t="shared" si="7"/>
        <v/>
      </c>
      <c r="I37" s="226" t="str">
        <f t="shared" si="8"/>
        <v/>
      </c>
      <c r="J37" s="216" t="str">
        <f t="shared" si="9"/>
        <v/>
      </c>
      <c r="K37" s="218" t="str">
        <f t="shared" si="10"/>
        <v/>
      </c>
      <c r="M37" s="15"/>
      <c r="N37" s="15"/>
      <c r="O37" s="223" t="s">
        <v>250</v>
      </c>
      <c r="P37" s="220" t="str">
        <f t="shared" ref="P37:P68" si="11">IF(Q37&lt;&gt;"OK","",IF(S37&lt;&gt;"",S37,R37))</f>
        <v/>
      </c>
      <c r="Q37" s="221" t="str">
        <f>IF(S37&lt;&gt;"",IF(AND(ISNUMBER(S37),S37&gt;=0),"OK","INVALID MANUAL LOAD"),IF(COUNTIF(TCFloors[TC ID],O37)=0,"UNUSED",IF(COUNTIFS(TCFloors[TC ID],O37,TCFloors[Check],"&lt;&gt;OK")&gt;0,"INPUT REQUIRED","OK")))</f>
        <v>UNUSED</v>
      </c>
      <c r="R37" s="222" t="str">
        <f>IF(AND(COUNTIF(TCFloors[TC ID],O37)&gt;0,COUNTIFS(TCFloors[TC ID],O37,TCFloors[Check],"&lt;&gt;OK")=0),SUMIF(TCFloors[TC ID],O37,TCFloors[Floor Load]),"")</f>
        <v/>
      </c>
      <c r="S37" s="228"/>
      <c r="T37" s="202" t="str">
        <f t="shared" ref="T37:T68" si="12">IF(S37&lt;&gt;"","MANUAL OVERRIDE",IF(Q37="UNUSED","","FLOOR DETAILS"))</f>
        <v/>
      </c>
    </row>
    <row r="38" spans="1:20" ht="28.05" customHeight="1">
      <c r="A38" s="40"/>
      <c r="B38" s="41"/>
      <c r="C38" s="224" t="str">
        <f t="shared" ref="C38:C69" si="13">IF(A38="","",10)</f>
        <v/>
      </c>
      <c r="D38" s="31"/>
      <c r="E38" s="224" t="str">
        <f>IF(B38="","",IFERROR(IF(INDEX('Imposed Load'!$B$16:$B$68,MATCH(B38,'Imposed Load'!$A$16:$A$68,0))="LL-SPECIAL","",INDEX('Imposed Load'!$C$16:$C$68,MATCH(B38,'Imposed Load'!$A$16:$A$68,0))),""))</f>
        <v/>
      </c>
      <c r="F38" s="31"/>
      <c r="G38" s="31"/>
      <c r="H38" s="216" t="str">
        <f t="shared" ref="H38:H69" si="14">IF(OR(F38="",G38=""),"",F38*G38)</f>
        <v/>
      </c>
      <c r="I38" s="226" t="str">
        <f t="shared" ref="I38:I69" si="15">IF(A38="","",1)</f>
        <v/>
      </c>
      <c r="J38" s="216" t="str">
        <f t="shared" ref="J38:J69" si="16">IF(K38&lt;&gt;"OK","",H38*I38*(1.4*(C38+D38)+1.6*E38))</f>
        <v/>
      </c>
      <c r="K38" s="218" t="str">
        <f t="shared" ref="K38:K69" si="17">IF(AND(A38="",B38="",F38="",G38=""),"",IF(OR(COUNTIF($O$5:$O$104,A38)&lt;&gt;1,B38="",COUNT(C38:G38,I38)&lt;&gt;6,MIN(C38:E38)&lt;0,F38&lt;=0,G38&lt;=0,I38&lt;=0,MOD(I38,1)&lt;&gt;0),"INPUT REQUIRED","OK"))</f>
        <v/>
      </c>
      <c r="M38" s="15"/>
      <c r="N38" s="15"/>
      <c r="O38" s="223" t="s">
        <v>251</v>
      </c>
      <c r="P38" s="220" t="str">
        <f t="shared" si="11"/>
        <v/>
      </c>
      <c r="Q38" s="221" t="str">
        <f>IF(S38&lt;&gt;"",IF(AND(ISNUMBER(S38),S38&gt;=0),"OK","INVALID MANUAL LOAD"),IF(COUNTIF(TCFloors[TC ID],O38)=0,"UNUSED",IF(COUNTIFS(TCFloors[TC ID],O38,TCFloors[Check],"&lt;&gt;OK")&gt;0,"INPUT REQUIRED","OK")))</f>
        <v>UNUSED</v>
      </c>
      <c r="R38" s="222" t="str">
        <f>IF(AND(COUNTIF(TCFloors[TC ID],O38)&gt;0,COUNTIFS(TCFloors[TC ID],O38,TCFloors[Check],"&lt;&gt;OK")=0),SUMIF(TCFloors[TC ID],O38,TCFloors[Floor Load]),"")</f>
        <v/>
      </c>
      <c r="S38" s="228"/>
      <c r="T38" s="202" t="str">
        <f t="shared" si="12"/>
        <v/>
      </c>
    </row>
    <row r="39" spans="1:20" ht="28.05" customHeight="1">
      <c r="A39" s="40"/>
      <c r="B39" s="41"/>
      <c r="C39" s="224" t="str">
        <f t="shared" si="13"/>
        <v/>
      </c>
      <c r="D39" s="31"/>
      <c r="E39" s="224" t="str">
        <f>IF(B39="","",IFERROR(IF(INDEX('Imposed Load'!$B$16:$B$68,MATCH(B39,'Imposed Load'!$A$16:$A$68,0))="LL-SPECIAL","",INDEX('Imposed Load'!$C$16:$C$68,MATCH(B39,'Imposed Load'!$A$16:$A$68,0))),""))</f>
        <v/>
      </c>
      <c r="F39" s="31"/>
      <c r="G39" s="31"/>
      <c r="H39" s="216" t="str">
        <f t="shared" si="14"/>
        <v/>
      </c>
      <c r="I39" s="226" t="str">
        <f t="shared" si="15"/>
        <v/>
      </c>
      <c r="J39" s="216" t="str">
        <f t="shared" si="16"/>
        <v/>
      </c>
      <c r="K39" s="218" t="str">
        <f t="shared" si="17"/>
        <v/>
      </c>
      <c r="M39" s="15"/>
      <c r="N39" s="15"/>
      <c r="O39" s="223" t="s">
        <v>252</v>
      </c>
      <c r="P39" s="220" t="str">
        <f t="shared" si="11"/>
        <v/>
      </c>
      <c r="Q39" s="221" t="str">
        <f>IF(S39&lt;&gt;"",IF(AND(ISNUMBER(S39),S39&gt;=0),"OK","INVALID MANUAL LOAD"),IF(COUNTIF(TCFloors[TC ID],O39)=0,"UNUSED",IF(COUNTIFS(TCFloors[TC ID],O39,TCFloors[Check],"&lt;&gt;OK")&gt;0,"INPUT REQUIRED","OK")))</f>
        <v>UNUSED</v>
      </c>
      <c r="R39" s="222" t="str">
        <f>IF(AND(COUNTIF(TCFloors[TC ID],O39)&gt;0,COUNTIFS(TCFloors[TC ID],O39,TCFloors[Check],"&lt;&gt;OK")=0),SUMIF(TCFloors[TC ID],O39,TCFloors[Floor Load]),"")</f>
        <v/>
      </c>
      <c r="S39" s="228"/>
      <c r="T39" s="202" t="str">
        <f t="shared" si="12"/>
        <v/>
      </c>
    </row>
    <row r="40" spans="1:20" ht="28.05" customHeight="1">
      <c r="A40" s="40"/>
      <c r="B40" s="41"/>
      <c r="C40" s="224" t="str">
        <f t="shared" si="13"/>
        <v/>
      </c>
      <c r="D40" s="31"/>
      <c r="E40" s="224" t="str">
        <f>IF(B40="","",IFERROR(IF(INDEX('Imposed Load'!$B$16:$B$68,MATCH(B40,'Imposed Load'!$A$16:$A$68,0))="LL-SPECIAL","",INDEX('Imposed Load'!$C$16:$C$68,MATCH(B40,'Imposed Load'!$A$16:$A$68,0))),""))</f>
        <v/>
      </c>
      <c r="F40" s="31"/>
      <c r="G40" s="31"/>
      <c r="H40" s="216" t="str">
        <f t="shared" si="14"/>
        <v/>
      </c>
      <c r="I40" s="226" t="str">
        <f t="shared" si="15"/>
        <v/>
      </c>
      <c r="J40" s="216" t="str">
        <f t="shared" si="16"/>
        <v/>
      </c>
      <c r="K40" s="218" t="str">
        <f t="shared" si="17"/>
        <v/>
      </c>
      <c r="M40" s="15"/>
      <c r="N40" s="15"/>
      <c r="O40" s="223" t="s">
        <v>253</v>
      </c>
      <c r="P40" s="220" t="str">
        <f t="shared" si="11"/>
        <v/>
      </c>
      <c r="Q40" s="221" t="str">
        <f>IF(S40&lt;&gt;"",IF(AND(ISNUMBER(S40),S40&gt;=0),"OK","INVALID MANUAL LOAD"),IF(COUNTIF(TCFloors[TC ID],O40)=0,"UNUSED",IF(COUNTIFS(TCFloors[TC ID],O40,TCFloors[Check],"&lt;&gt;OK")&gt;0,"INPUT REQUIRED","OK")))</f>
        <v>UNUSED</v>
      </c>
      <c r="R40" s="222" t="str">
        <f>IF(AND(COUNTIF(TCFloors[TC ID],O40)&gt;0,COUNTIFS(TCFloors[TC ID],O40,TCFloors[Check],"&lt;&gt;OK")=0),SUMIF(TCFloors[TC ID],O40,TCFloors[Floor Load]),"")</f>
        <v/>
      </c>
      <c r="S40" s="228"/>
      <c r="T40" s="202" t="str">
        <f t="shared" si="12"/>
        <v/>
      </c>
    </row>
    <row r="41" spans="1:20" ht="28.05" customHeight="1">
      <c r="A41" s="40"/>
      <c r="B41" s="41"/>
      <c r="C41" s="224" t="str">
        <f t="shared" si="13"/>
        <v/>
      </c>
      <c r="D41" s="31"/>
      <c r="E41" s="224" t="str">
        <f>IF(B41="","",IFERROR(IF(INDEX('Imposed Load'!$B$16:$B$68,MATCH(B41,'Imposed Load'!$A$16:$A$68,0))="LL-SPECIAL","",INDEX('Imposed Load'!$C$16:$C$68,MATCH(B41,'Imposed Load'!$A$16:$A$68,0))),""))</f>
        <v/>
      </c>
      <c r="F41" s="31"/>
      <c r="G41" s="31"/>
      <c r="H41" s="216" t="str">
        <f t="shared" si="14"/>
        <v/>
      </c>
      <c r="I41" s="226" t="str">
        <f t="shared" si="15"/>
        <v/>
      </c>
      <c r="J41" s="216" t="str">
        <f t="shared" si="16"/>
        <v/>
      </c>
      <c r="K41" s="218" t="str">
        <f t="shared" si="17"/>
        <v/>
      </c>
      <c r="M41" s="15"/>
      <c r="N41" s="15"/>
      <c r="O41" s="223" t="s">
        <v>254</v>
      </c>
      <c r="P41" s="220" t="str">
        <f t="shared" si="11"/>
        <v/>
      </c>
      <c r="Q41" s="221" t="str">
        <f>IF(S41&lt;&gt;"",IF(AND(ISNUMBER(S41),S41&gt;=0),"OK","INVALID MANUAL LOAD"),IF(COUNTIF(TCFloors[TC ID],O41)=0,"UNUSED",IF(COUNTIFS(TCFloors[TC ID],O41,TCFloors[Check],"&lt;&gt;OK")&gt;0,"INPUT REQUIRED","OK")))</f>
        <v>UNUSED</v>
      </c>
      <c r="R41" s="222" t="str">
        <f>IF(AND(COUNTIF(TCFloors[TC ID],O41)&gt;0,COUNTIFS(TCFloors[TC ID],O41,TCFloors[Check],"&lt;&gt;OK")=0),SUMIF(TCFloors[TC ID],O41,TCFloors[Floor Load]),"")</f>
        <v/>
      </c>
      <c r="S41" s="228"/>
      <c r="T41" s="202" t="str">
        <f t="shared" si="12"/>
        <v/>
      </c>
    </row>
    <row r="42" spans="1:20" ht="28.05" customHeight="1">
      <c r="A42" s="40"/>
      <c r="B42" s="41"/>
      <c r="C42" s="224" t="str">
        <f t="shared" si="13"/>
        <v/>
      </c>
      <c r="D42" s="31"/>
      <c r="E42" s="224" t="str">
        <f>IF(B42="","",IFERROR(IF(INDEX('Imposed Load'!$B$16:$B$68,MATCH(B42,'Imposed Load'!$A$16:$A$68,0))="LL-SPECIAL","",INDEX('Imposed Load'!$C$16:$C$68,MATCH(B42,'Imposed Load'!$A$16:$A$68,0))),""))</f>
        <v/>
      </c>
      <c r="F42" s="31"/>
      <c r="G42" s="31"/>
      <c r="H42" s="216" t="str">
        <f t="shared" si="14"/>
        <v/>
      </c>
      <c r="I42" s="226" t="str">
        <f t="shared" si="15"/>
        <v/>
      </c>
      <c r="J42" s="216" t="str">
        <f t="shared" si="16"/>
        <v/>
      </c>
      <c r="K42" s="218" t="str">
        <f t="shared" si="17"/>
        <v/>
      </c>
      <c r="M42" s="15"/>
      <c r="N42" s="15"/>
      <c r="O42" s="223" t="s">
        <v>255</v>
      </c>
      <c r="P42" s="220" t="str">
        <f t="shared" si="11"/>
        <v/>
      </c>
      <c r="Q42" s="221" t="str">
        <f>IF(S42&lt;&gt;"",IF(AND(ISNUMBER(S42),S42&gt;=0),"OK","INVALID MANUAL LOAD"),IF(COUNTIF(TCFloors[TC ID],O42)=0,"UNUSED",IF(COUNTIFS(TCFloors[TC ID],O42,TCFloors[Check],"&lt;&gt;OK")&gt;0,"INPUT REQUIRED","OK")))</f>
        <v>UNUSED</v>
      </c>
      <c r="R42" s="222" t="str">
        <f>IF(AND(COUNTIF(TCFloors[TC ID],O42)&gt;0,COUNTIFS(TCFloors[TC ID],O42,TCFloors[Check],"&lt;&gt;OK")=0),SUMIF(TCFloors[TC ID],O42,TCFloors[Floor Load]),"")</f>
        <v/>
      </c>
      <c r="S42" s="228"/>
      <c r="T42" s="202" t="str">
        <f t="shared" si="12"/>
        <v/>
      </c>
    </row>
    <row r="43" spans="1:20" ht="28.05" customHeight="1">
      <c r="A43" s="40"/>
      <c r="B43" s="41"/>
      <c r="C43" s="224" t="str">
        <f t="shared" si="13"/>
        <v/>
      </c>
      <c r="D43" s="31"/>
      <c r="E43" s="224" t="str">
        <f>IF(B43="","",IFERROR(IF(INDEX('Imposed Load'!$B$16:$B$68,MATCH(B43,'Imposed Load'!$A$16:$A$68,0))="LL-SPECIAL","",INDEX('Imposed Load'!$C$16:$C$68,MATCH(B43,'Imposed Load'!$A$16:$A$68,0))),""))</f>
        <v/>
      </c>
      <c r="F43" s="31"/>
      <c r="G43" s="31"/>
      <c r="H43" s="216" t="str">
        <f t="shared" si="14"/>
        <v/>
      </c>
      <c r="I43" s="226" t="str">
        <f t="shared" si="15"/>
        <v/>
      </c>
      <c r="J43" s="216" t="str">
        <f t="shared" si="16"/>
        <v/>
      </c>
      <c r="K43" s="218" t="str">
        <f t="shared" si="17"/>
        <v/>
      </c>
      <c r="M43" s="15"/>
      <c r="N43" s="15"/>
      <c r="O43" s="223" t="s">
        <v>256</v>
      </c>
      <c r="P43" s="220" t="str">
        <f t="shared" si="11"/>
        <v/>
      </c>
      <c r="Q43" s="221" t="str">
        <f>IF(S43&lt;&gt;"",IF(AND(ISNUMBER(S43),S43&gt;=0),"OK","INVALID MANUAL LOAD"),IF(COUNTIF(TCFloors[TC ID],O43)=0,"UNUSED",IF(COUNTIFS(TCFloors[TC ID],O43,TCFloors[Check],"&lt;&gt;OK")&gt;0,"INPUT REQUIRED","OK")))</f>
        <v>UNUSED</v>
      </c>
      <c r="R43" s="222" t="str">
        <f>IF(AND(COUNTIF(TCFloors[TC ID],O43)&gt;0,COUNTIFS(TCFloors[TC ID],O43,TCFloors[Check],"&lt;&gt;OK")=0),SUMIF(TCFloors[TC ID],O43,TCFloors[Floor Load]),"")</f>
        <v/>
      </c>
      <c r="S43" s="228"/>
      <c r="T43" s="202" t="str">
        <f t="shared" si="12"/>
        <v/>
      </c>
    </row>
    <row r="44" spans="1:20" ht="28.05" customHeight="1">
      <c r="A44" s="40"/>
      <c r="B44" s="41"/>
      <c r="C44" s="224" t="str">
        <f t="shared" si="13"/>
        <v/>
      </c>
      <c r="D44" s="31"/>
      <c r="E44" s="224" t="str">
        <f>IF(B44="","",IFERROR(IF(INDEX('Imposed Load'!$B$16:$B$68,MATCH(B44,'Imposed Load'!$A$16:$A$68,0))="LL-SPECIAL","",INDEX('Imposed Load'!$C$16:$C$68,MATCH(B44,'Imposed Load'!$A$16:$A$68,0))),""))</f>
        <v/>
      </c>
      <c r="F44" s="31"/>
      <c r="G44" s="31"/>
      <c r="H44" s="216" t="str">
        <f t="shared" si="14"/>
        <v/>
      </c>
      <c r="I44" s="226" t="str">
        <f t="shared" si="15"/>
        <v/>
      </c>
      <c r="J44" s="216" t="str">
        <f t="shared" si="16"/>
        <v/>
      </c>
      <c r="K44" s="218" t="str">
        <f t="shared" si="17"/>
        <v/>
      </c>
      <c r="M44" s="15"/>
      <c r="N44" s="15"/>
      <c r="O44" s="223" t="s">
        <v>257</v>
      </c>
      <c r="P44" s="220" t="str">
        <f t="shared" si="11"/>
        <v/>
      </c>
      <c r="Q44" s="221" t="str">
        <f>IF(S44&lt;&gt;"",IF(AND(ISNUMBER(S44),S44&gt;=0),"OK","INVALID MANUAL LOAD"),IF(COUNTIF(TCFloors[TC ID],O44)=0,"UNUSED",IF(COUNTIFS(TCFloors[TC ID],O44,TCFloors[Check],"&lt;&gt;OK")&gt;0,"INPUT REQUIRED","OK")))</f>
        <v>UNUSED</v>
      </c>
      <c r="R44" s="222" t="str">
        <f>IF(AND(COUNTIF(TCFloors[TC ID],O44)&gt;0,COUNTIFS(TCFloors[TC ID],O44,TCFloors[Check],"&lt;&gt;OK")=0),SUMIF(TCFloors[TC ID],O44,TCFloors[Floor Load]),"")</f>
        <v/>
      </c>
      <c r="S44" s="228"/>
      <c r="T44" s="202" t="str">
        <f t="shared" si="12"/>
        <v/>
      </c>
    </row>
    <row r="45" spans="1:20" ht="28.05" customHeight="1">
      <c r="A45" s="40"/>
      <c r="B45" s="41"/>
      <c r="C45" s="224" t="str">
        <f t="shared" si="13"/>
        <v/>
      </c>
      <c r="D45" s="31"/>
      <c r="E45" s="224" t="str">
        <f>IF(B45="","",IFERROR(IF(INDEX('Imposed Load'!$B$16:$B$68,MATCH(B45,'Imposed Load'!$A$16:$A$68,0))="LL-SPECIAL","",INDEX('Imposed Load'!$C$16:$C$68,MATCH(B45,'Imposed Load'!$A$16:$A$68,0))),""))</f>
        <v/>
      </c>
      <c r="F45" s="31"/>
      <c r="G45" s="31"/>
      <c r="H45" s="216" t="str">
        <f t="shared" si="14"/>
        <v/>
      </c>
      <c r="I45" s="226" t="str">
        <f t="shared" si="15"/>
        <v/>
      </c>
      <c r="J45" s="216" t="str">
        <f t="shared" si="16"/>
        <v/>
      </c>
      <c r="K45" s="218" t="str">
        <f t="shared" si="17"/>
        <v/>
      </c>
      <c r="M45" s="15"/>
      <c r="N45" s="15"/>
      <c r="O45" s="223" t="s">
        <v>258</v>
      </c>
      <c r="P45" s="220" t="str">
        <f t="shared" si="11"/>
        <v/>
      </c>
      <c r="Q45" s="221" t="str">
        <f>IF(S45&lt;&gt;"",IF(AND(ISNUMBER(S45),S45&gt;=0),"OK","INVALID MANUAL LOAD"),IF(COUNTIF(TCFloors[TC ID],O45)=0,"UNUSED",IF(COUNTIFS(TCFloors[TC ID],O45,TCFloors[Check],"&lt;&gt;OK")&gt;0,"INPUT REQUIRED","OK")))</f>
        <v>UNUSED</v>
      </c>
      <c r="R45" s="222" t="str">
        <f>IF(AND(COUNTIF(TCFloors[TC ID],O45)&gt;0,COUNTIFS(TCFloors[TC ID],O45,TCFloors[Check],"&lt;&gt;OK")=0),SUMIF(TCFloors[TC ID],O45,TCFloors[Floor Load]),"")</f>
        <v/>
      </c>
      <c r="S45" s="228"/>
      <c r="T45" s="202" t="str">
        <f t="shared" si="12"/>
        <v/>
      </c>
    </row>
    <row r="46" spans="1:20" ht="28.05" customHeight="1">
      <c r="A46" s="40"/>
      <c r="B46" s="41"/>
      <c r="C46" s="224" t="str">
        <f t="shared" si="13"/>
        <v/>
      </c>
      <c r="D46" s="31"/>
      <c r="E46" s="224" t="str">
        <f>IF(B46="","",IFERROR(IF(INDEX('Imposed Load'!$B$16:$B$68,MATCH(B46,'Imposed Load'!$A$16:$A$68,0))="LL-SPECIAL","",INDEX('Imposed Load'!$C$16:$C$68,MATCH(B46,'Imposed Load'!$A$16:$A$68,0))),""))</f>
        <v/>
      </c>
      <c r="F46" s="31"/>
      <c r="G46" s="31"/>
      <c r="H46" s="216" t="str">
        <f t="shared" si="14"/>
        <v/>
      </c>
      <c r="I46" s="226" t="str">
        <f t="shared" si="15"/>
        <v/>
      </c>
      <c r="J46" s="216" t="str">
        <f t="shared" si="16"/>
        <v/>
      </c>
      <c r="K46" s="218" t="str">
        <f t="shared" si="17"/>
        <v/>
      </c>
      <c r="M46" s="15"/>
      <c r="N46" s="15"/>
      <c r="O46" s="223" t="s">
        <v>259</v>
      </c>
      <c r="P46" s="220" t="str">
        <f t="shared" si="11"/>
        <v/>
      </c>
      <c r="Q46" s="221" t="str">
        <f>IF(S46&lt;&gt;"",IF(AND(ISNUMBER(S46),S46&gt;=0),"OK","INVALID MANUAL LOAD"),IF(COUNTIF(TCFloors[TC ID],O46)=0,"UNUSED",IF(COUNTIFS(TCFloors[TC ID],O46,TCFloors[Check],"&lt;&gt;OK")&gt;0,"INPUT REQUIRED","OK")))</f>
        <v>UNUSED</v>
      </c>
      <c r="R46" s="222" t="str">
        <f>IF(AND(COUNTIF(TCFloors[TC ID],O46)&gt;0,COUNTIFS(TCFloors[TC ID],O46,TCFloors[Check],"&lt;&gt;OK")=0),SUMIF(TCFloors[TC ID],O46,TCFloors[Floor Load]),"")</f>
        <v/>
      </c>
      <c r="S46" s="228"/>
      <c r="T46" s="202" t="str">
        <f t="shared" si="12"/>
        <v/>
      </c>
    </row>
    <row r="47" spans="1:20" ht="28.05" customHeight="1">
      <c r="A47" s="40"/>
      <c r="B47" s="41"/>
      <c r="C47" s="224" t="str">
        <f t="shared" si="13"/>
        <v/>
      </c>
      <c r="D47" s="31"/>
      <c r="E47" s="224" t="str">
        <f>IF(B47="","",IFERROR(IF(INDEX('Imposed Load'!$B$16:$B$68,MATCH(B47,'Imposed Load'!$A$16:$A$68,0))="LL-SPECIAL","",INDEX('Imposed Load'!$C$16:$C$68,MATCH(B47,'Imposed Load'!$A$16:$A$68,0))),""))</f>
        <v/>
      </c>
      <c r="F47" s="31"/>
      <c r="G47" s="31"/>
      <c r="H47" s="216" t="str">
        <f t="shared" si="14"/>
        <v/>
      </c>
      <c r="I47" s="226" t="str">
        <f t="shared" si="15"/>
        <v/>
      </c>
      <c r="J47" s="216" t="str">
        <f t="shared" si="16"/>
        <v/>
      </c>
      <c r="K47" s="218" t="str">
        <f t="shared" si="17"/>
        <v/>
      </c>
      <c r="M47" s="15"/>
      <c r="N47" s="15"/>
      <c r="O47" s="223" t="s">
        <v>260</v>
      </c>
      <c r="P47" s="220" t="str">
        <f t="shared" si="11"/>
        <v/>
      </c>
      <c r="Q47" s="221" t="str">
        <f>IF(S47&lt;&gt;"",IF(AND(ISNUMBER(S47),S47&gt;=0),"OK","INVALID MANUAL LOAD"),IF(COUNTIF(TCFloors[TC ID],O47)=0,"UNUSED",IF(COUNTIFS(TCFloors[TC ID],O47,TCFloors[Check],"&lt;&gt;OK")&gt;0,"INPUT REQUIRED","OK")))</f>
        <v>UNUSED</v>
      </c>
      <c r="R47" s="222" t="str">
        <f>IF(AND(COUNTIF(TCFloors[TC ID],O47)&gt;0,COUNTIFS(TCFloors[TC ID],O47,TCFloors[Check],"&lt;&gt;OK")=0),SUMIF(TCFloors[TC ID],O47,TCFloors[Floor Load]),"")</f>
        <v/>
      </c>
      <c r="S47" s="228"/>
      <c r="T47" s="202" t="str">
        <f t="shared" si="12"/>
        <v/>
      </c>
    </row>
    <row r="48" spans="1:20" ht="28.05" customHeight="1">
      <c r="A48" s="40"/>
      <c r="B48" s="41"/>
      <c r="C48" s="224" t="str">
        <f t="shared" si="13"/>
        <v/>
      </c>
      <c r="D48" s="31"/>
      <c r="E48" s="224" t="str">
        <f>IF(B48="","",IFERROR(IF(INDEX('Imposed Load'!$B$16:$B$68,MATCH(B48,'Imposed Load'!$A$16:$A$68,0))="LL-SPECIAL","",INDEX('Imposed Load'!$C$16:$C$68,MATCH(B48,'Imposed Load'!$A$16:$A$68,0))),""))</f>
        <v/>
      </c>
      <c r="F48" s="31"/>
      <c r="G48" s="31"/>
      <c r="H48" s="216" t="str">
        <f t="shared" si="14"/>
        <v/>
      </c>
      <c r="I48" s="226" t="str">
        <f t="shared" si="15"/>
        <v/>
      </c>
      <c r="J48" s="216" t="str">
        <f t="shared" si="16"/>
        <v/>
      </c>
      <c r="K48" s="218" t="str">
        <f t="shared" si="17"/>
        <v/>
      </c>
      <c r="M48" s="15"/>
      <c r="N48" s="15"/>
      <c r="O48" s="223" t="s">
        <v>261</v>
      </c>
      <c r="P48" s="220" t="str">
        <f t="shared" si="11"/>
        <v/>
      </c>
      <c r="Q48" s="221" t="str">
        <f>IF(S48&lt;&gt;"",IF(AND(ISNUMBER(S48),S48&gt;=0),"OK","INVALID MANUAL LOAD"),IF(COUNTIF(TCFloors[TC ID],O48)=0,"UNUSED",IF(COUNTIFS(TCFloors[TC ID],O48,TCFloors[Check],"&lt;&gt;OK")&gt;0,"INPUT REQUIRED","OK")))</f>
        <v>UNUSED</v>
      </c>
      <c r="R48" s="222" t="str">
        <f>IF(AND(COUNTIF(TCFloors[TC ID],O48)&gt;0,COUNTIFS(TCFloors[TC ID],O48,TCFloors[Check],"&lt;&gt;OK")=0),SUMIF(TCFloors[TC ID],O48,TCFloors[Floor Load]),"")</f>
        <v/>
      </c>
      <c r="S48" s="228"/>
      <c r="T48" s="202" t="str">
        <f t="shared" si="12"/>
        <v/>
      </c>
    </row>
    <row r="49" spans="1:20" ht="28.05" customHeight="1">
      <c r="A49" s="40"/>
      <c r="B49" s="41"/>
      <c r="C49" s="224" t="str">
        <f t="shared" si="13"/>
        <v/>
      </c>
      <c r="D49" s="31"/>
      <c r="E49" s="224" t="str">
        <f>IF(B49="","",IFERROR(IF(INDEX('Imposed Load'!$B$16:$B$68,MATCH(B49,'Imposed Load'!$A$16:$A$68,0))="LL-SPECIAL","",INDEX('Imposed Load'!$C$16:$C$68,MATCH(B49,'Imposed Load'!$A$16:$A$68,0))),""))</f>
        <v/>
      </c>
      <c r="F49" s="31"/>
      <c r="G49" s="31"/>
      <c r="H49" s="216" t="str">
        <f t="shared" si="14"/>
        <v/>
      </c>
      <c r="I49" s="226" t="str">
        <f t="shared" si="15"/>
        <v/>
      </c>
      <c r="J49" s="216" t="str">
        <f t="shared" si="16"/>
        <v/>
      </c>
      <c r="K49" s="218" t="str">
        <f t="shared" si="17"/>
        <v/>
      </c>
      <c r="M49" s="15"/>
      <c r="N49" s="15"/>
      <c r="O49" s="223" t="s">
        <v>262</v>
      </c>
      <c r="P49" s="220" t="str">
        <f t="shared" si="11"/>
        <v/>
      </c>
      <c r="Q49" s="221" t="str">
        <f>IF(S49&lt;&gt;"",IF(AND(ISNUMBER(S49),S49&gt;=0),"OK","INVALID MANUAL LOAD"),IF(COUNTIF(TCFloors[TC ID],O49)=0,"UNUSED",IF(COUNTIFS(TCFloors[TC ID],O49,TCFloors[Check],"&lt;&gt;OK")&gt;0,"INPUT REQUIRED","OK")))</f>
        <v>UNUSED</v>
      </c>
      <c r="R49" s="222" t="str">
        <f>IF(AND(COUNTIF(TCFloors[TC ID],O49)&gt;0,COUNTIFS(TCFloors[TC ID],O49,TCFloors[Check],"&lt;&gt;OK")=0),SUMIF(TCFloors[TC ID],O49,TCFloors[Floor Load]),"")</f>
        <v/>
      </c>
      <c r="S49" s="228"/>
      <c r="T49" s="202" t="str">
        <f t="shared" si="12"/>
        <v/>
      </c>
    </row>
    <row r="50" spans="1:20" ht="28.05" customHeight="1">
      <c r="A50" s="40"/>
      <c r="B50" s="41"/>
      <c r="C50" s="224" t="str">
        <f t="shared" si="13"/>
        <v/>
      </c>
      <c r="D50" s="31"/>
      <c r="E50" s="224" t="str">
        <f>IF(B50="","",IFERROR(IF(INDEX('Imposed Load'!$B$16:$B$68,MATCH(B50,'Imposed Load'!$A$16:$A$68,0))="LL-SPECIAL","",INDEX('Imposed Load'!$C$16:$C$68,MATCH(B50,'Imposed Load'!$A$16:$A$68,0))),""))</f>
        <v/>
      </c>
      <c r="F50" s="31"/>
      <c r="G50" s="31"/>
      <c r="H50" s="216" t="str">
        <f t="shared" si="14"/>
        <v/>
      </c>
      <c r="I50" s="226" t="str">
        <f t="shared" si="15"/>
        <v/>
      </c>
      <c r="J50" s="216" t="str">
        <f t="shared" si="16"/>
        <v/>
      </c>
      <c r="K50" s="218" t="str">
        <f t="shared" si="17"/>
        <v/>
      </c>
      <c r="M50" s="15"/>
      <c r="N50" s="15"/>
      <c r="O50" s="223" t="s">
        <v>263</v>
      </c>
      <c r="P50" s="220" t="str">
        <f t="shared" si="11"/>
        <v/>
      </c>
      <c r="Q50" s="221" t="str">
        <f>IF(S50&lt;&gt;"",IF(AND(ISNUMBER(S50),S50&gt;=0),"OK","INVALID MANUAL LOAD"),IF(COUNTIF(TCFloors[TC ID],O50)=0,"UNUSED",IF(COUNTIFS(TCFloors[TC ID],O50,TCFloors[Check],"&lt;&gt;OK")&gt;0,"INPUT REQUIRED","OK")))</f>
        <v>UNUSED</v>
      </c>
      <c r="R50" s="222" t="str">
        <f>IF(AND(COUNTIF(TCFloors[TC ID],O50)&gt;0,COUNTIFS(TCFloors[TC ID],O50,TCFloors[Check],"&lt;&gt;OK")=0),SUMIF(TCFloors[TC ID],O50,TCFloors[Floor Load]),"")</f>
        <v/>
      </c>
      <c r="S50" s="228"/>
      <c r="T50" s="202" t="str">
        <f t="shared" si="12"/>
        <v/>
      </c>
    </row>
    <row r="51" spans="1:20" ht="28.05" customHeight="1">
      <c r="A51" s="40"/>
      <c r="B51" s="41"/>
      <c r="C51" s="224" t="str">
        <f t="shared" si="13"/>
        <v/>
      </c>
      <c r="D51" s="31"/>
      <c r="E51" s="224" t="str">
        <f>IF(B51="","",IFERROR(IF(INDEX('Imposed Load'!$B$16:$B$68,MATCH(B51,'Imposed Load'!$A$16:$A$68,0))="LL-SPECIAL","",INDEX('Imposed Load'!$C$16:$C$68,MATCH(B51,'Imposed Load'!$A$16:$A$68,0))),""))</f>
        <v/>
      </c>
      <c r="F51" s="31"/>
      <c r="G51" s="31"/>
      <c r="H51" s="216" t="str">
        <f t="shared" si="14"/>
        <v/>
      </c>
      <c r="I51" s="226" t="str">
        <f t="shared" si="15"/>
        <v/>
      </c>
      <c r="J51" s="216" t="str">
        <f t="shared" si="16"/>
        <v/>
      </c>
      <c r="K51" s="218" t="str">
        <f t="shared" si="17"/>
        <v/>
      </c>
      <c r="M51" s="15"/>
      <c r="N51" s="15"/>
      <c r="O51" s="223" t="s">
        <v>264</v>
      </c>
      <c r="P51" s="220" t="str">
        <f t="shared" si="11"/>
        <v/>
      </c>
      <c r="Q51" s="221" t="str">
        <f>IF(S51&lt;&gt;"",IF(AND(ISNUMBER(S51),S51&gt;=0),"OK","INVALID MANUAL LOAD"),IF(COUNTIF(TCFloors[TC ID],O51)=0,"UNUSED",IF(COUNTIFS(TCFloors[TC ID],O51,TCFloors[Check],"&lt;&gt;OK")&gt;0,"INPUT REQUIRED","OK")))</f>
        <v>UNUSED</v>
      </c>
      <c r="R51" s="222" t="str">
        <f>IF(AND(COUNTIF(TCFloors[TC ID],O51)&gt;0,COUNTIFS(TCFloors[TC ID],O51,TCFloors[Check],"&lt;&gt;OK")=0),SUMIF(TCFloors[TC ID],O51,TCFloors[Floor Load]),"")</f>
        <v/>
      </c>
      <c r="S51" s="228"/>
      <c r="T51" s="202" t="str">
        <f t="shared" si="12"/>
        <v/>
      </c>
    </row>
    <row r="52" spans="1:20" ht="28.05" customHeight="1">
      <c r="A52" s="40"/>
      <c r="B52" s="41"/>
      <c r="C52" s="224" t="str">
        <f t="shared" si="13"/>
        <v/>
      </c>
      <c r="D52" s="31"/>
      <c r="E52" s="224" t="str">
        <f>IF(B52="","",IFERROR(IF(INDEX('Imposed Load'!$B$16:$B$68,MATCH(B52,'Imposed Load'!$A$16:$A$68,0))="LL-SPECIAL","",INDEX('Imposed Load'!$C$16:$C$68,MATCH(B52,'Imposed Load'!$A$16:$A$68,0))),""))</f>
        <v/>
      </c>
      <c r="F52" s="31"/>
      <c r="G52" s="31"/>
      <c r="H52" s="216" t="str">
        <f t="shared" si="14"/>
        <v/>
      </c>
      <c r="I52" s="226" t="str">
        <f t="shared" si="15"/>
        <v/>
      </c>
      <c r="J52" s="216" t="str">
        <f t="shared" si="16"/>
        <v/>
      </c>
      <c r="K52" s="218" t="str">
        <f t="shared" si="17"/>
        <v/>
      </c>
      <c r="M52" s="15"/>
      <c r="N52" s="15"/>
      <c r="O52" s="223" t="s">
        <v>265</v>
      </c>
      <c r="P52" s="220" t="str">
        <f t="shared" si="11"/>
        <v/>
      </c>
      <c r="Q52" s="221" t="str">
        <f>IF(S52&lt;&gt;"",IF(AND(ISNUMBER(S52),S52&gt;=0),"OK","INVALID MANUAL LOAD"),IF(COUNTIF(TCFloors[TC ID],O52)=0,"UNUSED",IF(COUNTIFS(TCFloors[TC ID],O52,TCFloors[Check],"&lt;&gt;OK")&gt;0,"INPUT REQUIRED","OK")))</f>
        <v>UNUSED</v>
      </c>
      <c r="R52" s="222" t="str">
        <f>IF(AND(COUNTIF(TCFloors[TC ID],O52)&gt;0,COUNTIFS(TCFloors[TC ID],O52,TCFloors[Check],"&lt;&gt;OK")=0),SUMIF(TCFloors[TC ID],O52,TCFloors[Floor Load]),"")</f>
        <v/>
      </c>
      <c r="S52" s="228"/>
      <c r="T52" s="202" t="str">
        <f t="shared" si="12"/>
        <v/>
      </c>
    </row>
    <row r="53" spans="1:20" ht="28.05" customHeight="1">
      <c r="A53" s="40"/>
      <c r="B53" s="41"/>
      <c r="C53" s="224" t="str">
        <f t="shared" si="13"/>
        <v/>
      </c>
      <c r="D53" s="31"/>
      <c r="E53" s="224" t="str">
        <f>IF(B53="","",IFERROR(IF(INDEX('Imposed Load'!$B$16:$B$68,MATCH(B53,'Imposed Load'!$A$16:$A$68,0))="LL-SPECIAL","",INDEX('Imposed Load'!$C$16:$C$68,MATCH(B53,'Imposed Load'!$A$16:$A$68,0))),""))</f>
        <v/>
      </c>
      <c r="F53" s="31"/>
      <c r="G53" s="31"/>
      <c r="H53" s="216" t="str">
        <f t="shared" si="14"/>
        <v/>
      </c>
      <c r="I53" s="226" t="str">
        <f t="shared" si="15"/>
        <v/>
      </c>
      <c r="J53" s="216" t="str">
        <f t="shared" si="16"/>
        <v/>
      </c>
      <c r="K53" s="218" t="str">
        <f t="shared" si="17"/>
        <v/>
      </c>
      <c r="M53" s="15"/>
      <c r="N53" s="15"/>
      <c r="O53" s="223" t="s">
        <v>266</v>
      </c>
      <c r="P53" s="220" t="str">
        <f t="shared" si="11"/>
        <v/>
      </c>
      <c r="Q53" s="221" t="str">
        <f>IF(S53&lt;&gt;"",IF(AND(ISNUMBER(S53),S53&gt;=0),"OK","INVALID MANUAL LOAD"),IF(COUNTIF(TCFloors[TC ID],O53)=0,"UNUSED",IF(COUNTIFS(TCFloors[TC ID],O53,TCFloors[Check],"&lt;&gt;OK")&gt;0,"INPUT REQUIRED","OK")))</f>
        <v>UNUSED</v>
      </c>
      <c r="R53" s="222" t="str">
        <f>IF(AND(COUNTIF(TCFloors[TC ID],O53)&gt;0,COUNTIFS(TCFloors[TC ID],O53,TCFloors[Check],"&lt;&gt;OK")=0),SUMIF(TCFloors[TC ID],O53,TCFloors[Floor Load]),"")</f>
        <v/>
      </c>
      <c r="S53" s="228"/>
      <c r="T53" s="202" t="str">
        <f t="shared" si="12"/>
        <v/>
      </c>
    </row>
    <row r="54" spans="1:20" ht="28.05" customHeight="1">
      <c r="A54" s="40"/>
      <c r="B54" s="41"/>
      <c r="C54" s="224" t="str">
        <f t="shared" si="13"/>
        <v/>
      </c>
      <c r="D54" s="31"/>
      <c r="E54" s="224" t="str">
        <f>IF(B54="","",IFERROR(IF(INDEX('Imposed Load'!$B$16:$B$68,MATCH(B54,'Imposed Load'!$A$16:$A$68,0))="LL-SPECIAL","",INDEX('Imposed Load'!$C$16:$C$68,MATCH(B54,'Imposed Load'!$A$16:$A$68,0))),""))</f>
        <v/>
      </c>
      <c r="F54" s="31"/>
      <c r="G54" s="31"/>
      <c r="H54" s="216" t="str">
        <f t="shared" si="14"/>
        <v/>
      </c>
      <c r="I54" s="226" t="str">
        <f t="shared" si="15"/>
        <v/>
      </c>
      <c r="J54" s="216" t="str">
        <f t="shared" si="16"/>
        <v/>
      </c>
      <c r="K54" s="218" t="str">
        <f t="shared" si="17"/>
        <v/>
      </c>
      <c r="M54" s="15"/>
      <c r="N54" s="15"/>
      <c r="O54" s="223" t="s">
        <v>267</v>
      </c>
      <c r="P54" s="220" t="str">
        <f t="shared" si="11"/>
        <v/>
      </c>
      <c r="Q54" s="221" t="str">
        <f>IF(S54&lt;&gt;"",IF(AND(ISNUMBER(S54),S54&gt;=0),"OK","INVALID MANUAL LOAD"),IF(COUNTIF(TCFloors[TC ID],O54)=0,"UNUSED",IF(COUNTIFS(TCFloors[TC ID],O54,TCFloors[Check],"&lt;&gt;OK")&gt;0,"INPUT REQUIRED","OK")))</f>
        <v>UNUSED</v>
      </c>
      <c r="R54" s="222" t="str">
        <f>IF(AND(COUNTIF(TCFloors[TC ID],O54)&gt;0,COUNTIFS(TCFloors[TC ID],O54,TCFloors[Check],"&lt;&gt;OK")=0),SUMIF(TCFloors[TC ID],O54,TCFloors[Floor Load]),"")</f>
        <v/>
      </c>
      <c r="S54" s="228"/>
      <c r="T54" s="202" t="str">
        <f t="shared" si="12"/>
        <v/>
      </c>
    </row>
    <row r="55" spans="1:20" ht="28.05" customHeight="1">
      <c r="A55" s="40"/>
      <c r="B55" s="41"/>
      <c r="C55" s="224" t="str">
        <f t="shared" si="13"/>
        <v/>
      </c>
      <c r="D55" s="31"/>
      <c r="E55" s="224" t="str">
        <f>IF(B55="","",IFERROR(IF(INDEX('Imposed Load'!$B$16:$B$68,MATCH(B55,'Imposed Load'!$A$16:$A$68,0))="LL-SPECIAL","",INDEX('Imposed Load'!$C$16:$C$68,MATCH(B55,'Imposed Load'!$A$16:$A$68,0))),""))</f>
        <v/>
      </c>
      <c r="F55" s="31"/>
      <c r="G55" s="31"/>
      <c r="H55" s="216" t="str">
        <f t="shared" si="14"/>
        <v/>
      </c>
      <c r="I55" s="226" t="str">
        <f t="shared" si="15"/>
        <v/>
      </c>
      <c r="J55" s="216" t="str">
        <f t="shared" si="16"/>
        <v/>
      </c>
      <c r="K55" s="218" t="str">
        <f t="shared" si="17"/>
        <v/>
      </c>
      <c r="M55" s="15"/>
      <c r="N55" s="15"/>
      <c r="O55" s="223" t="s">
        <v>268</v>
      </c>
      <c r="P55" s="220" t="str">
        <f t="shared" si="11"/>
        <v/>
      </c>
      <c r="Q55" s="221" t="str">
        <f>IF(S55&lt;&gt;"",IF(AND(ISNUMBER(S55),S55&gt;=0),"OK","INVALID MANUAL LOAD"),IF(COUNTIF(TCFloors[TC ID],O55)=0,"UNUSED",IF(COUNTIFS(TCFloors[TC ID],O55,TCFloors[Check],"&lt;&gt;OK")&gt;0,"INPUT REQUIRED","OK")))</f>
        <v>UNUSED</v>
      </c>
      <c r="R55" s="222" t="str">
        <f>IF(AND(COUNTIF(TCFloors[TC ID],O55)&gt;0,COUNTIFS(TCFloors[TC ID],O55,TCFloors[Check],"&lt;&gt;OK")=0),SUMIF(TCFloors[TC ID],O55,TCFloors[Floor Load]),"")</f>
        <v/>
      </c>
      <c r="S55" s="228"/>
      <c r="T55" s="202" t="str">
        <f t="shared" si="12"/>
        <v/>
      </c>
    </row>
    <row r="56" spans="1:20" ht="28.05" customHeight="1">
      <c r="A56" s="40"/>
      <c r="B56" s="41"/>
      <c r="C56" s="224" t="str">
        <f t="shared" si="13"/>
        <v/>
      </c>
      <c r="D56" s="31"/>
      <c r="E56" s="224" t="str">
        <f>IF(B56="","",IFERROR(IF(INDEX('Imposed Load'!$B$16:$B$68,MATCH(B56,'Imposed Load'!$A$16:$A$68,0))="LL-SPECIAL","",INDEX('Imposed Load'!$C$16:$C$68,MATCH(B56,'Imposed Load'!$A$16:$A$68,0))),""))</f>
        <v/>
      </c>
      <c r="F56" s="31"/>
      <c r="G56" s="31"/>
      <c r="H56" s="216" t="str">
        <f t="shared" si="14"/>
        <v/>
      </c>
      <c r="I56" s="226" t="str">
        <f t="shared" si="15"/>
        <v/>
      </c>
      <c r="J56" s="216" t="str">
        <f t="shared" si="16"/>
        <v/>
      </c>
      <c r="K56" s="218" t="str">
        <f t="shared" si="17"/>
        <v/>
      </c>
      <c r="M56" s="15"/>
      <c r="N56" s="15"/>
      <c r="O56" s="223" t="s">
        <v>269</v>
      </c>
      <c r="P56" s="220" t="str">
        <f t="shared" si="11"/>
        <v/>
      </c>
      <c r="Q56" s="221" t="str">
        <f>IF(S56&lt;&gt;"",IF(AND(ISNUMBER(S56),S56&gt;=0),"OK","INVALID MANUAL LOAD"),IF(COUNTIF(TCFloors[TC ID],O56)=0,"UNUSED",IF(COUNTIFS(TCFloors[TC ID],O56,TCFloors[Check],"&lt;&gt;OK")&gt;0,"INPUT REQUIRED","OK")))</f>
        <v>UNUSED</v>
      </c>
      <c r="R56" s="222" t="str">
        <f>IF(AND(COUNTIF(TCFloors[TC ID],O56)&gt;0,COUNTIFS(TCFloors[TC ID],O56,TCFloors[Check],"&lt;&gt;OK")=0),SUMIF(TCFloors[TC ID],O56,TCFloors[Floor Load]),"")</f>
        <v/>
      </c>
      <c r="S56" s="228"/>
      <c r="T56" s="202" t="str">
        <f t="shared" si="12"/>
        <v/>
      </c>
    </row>
    <row r="57" spans="1:20" ht="28.05" customHeight="1">
      <c r="A57" s="40"/>
      <c r="B57" s="41"/>
      <c r="C57" s="224" t="str">
        <f t="shared" si="13"/>
        <v/>
      </c>
      <c r="D57" s="31"/>
      <c r="E57" s="224" t="str">
        <f>IF(B57="","",IFERROR(IF(INDEX('Imposed Load'!$B$16:$B$68,MATCH(B57,'Imposed Load'!$A$16:$A$68,0))="LL-SPECIAL","",INDEX('Imposed Load'!$C$16:$C$68,MATCH(B57,'Imposed Load'!$A$16:$A$68,0))),""))</f>
        <v/>
      </c>
      <c r="F57" s="31"/>
      <c r="G57" s="31"/>
      <c r="H57" s="216" t="str">
        <f t="shared" si="14"/>
        <v/>
      </c>
      <c r="I57" s="226" t="str">
        <f t="shared" si="15"/>
        <v/>
      </c>
      <c r="J57" s="216" t="str">
        <f t="shared" si="16"/>
        <v/>
      </c>
      <c r="K57" s="218" t="str">
        <f t="shared" si="17"/>
        <v/>
      </c>
      <c r="M57" s="15"/>
      <c r="N57" s="15"/>
      <c r="O57" s="223" t="s">
        <v>270</v>
      </c>
      <c r="P57" s="220" t="str">
        <f t="shared" si="11"/>
        <v/>
      </c>
      <c r="Q57" s="221" t="str">
        <f>IF(S57&lt;&gt;"",IF(AND(ISNUMBER(S57),S57&gt;=0),"OK","INVALID MANUAL LOAD"),IF(COUNTIF(TCFloors[TC ID],O57)=0,"UNUSED",IF(COUNTIFS(TCFloors[TC ID],O57,TCFloors[Check],"&lt;&gt;OK")&gt;0,"INPUT REQUIRED","OK")))</f>
        <v>UNUSED</v>
      </c>
      <c r="R57" s="222" t="str">
        <f>IF(AND(COUNTIF(TCFloors[TC ID],O57)&gt;0,COUNTIFS(TCFloors[TC ID],O57,TCFloors[Check],"&lt;&gt;OK")=0),SUMIF(TCFloors[TC ID],O57,TCFloors[Floor Load]),"")</f>
        <v/>
      </c>
      <c r="S57" s="228"/>
      <c r="T57" s="202" t="str">
        <f t="shared" si="12"/>
        <v/>
      </c>
    </row>
    <row r="58" spans="1:20" ht="28.05" customHeight="1">
      <c r="A58" s="40"/>
      <c r="B58" s="41"/>
      <c r="C58" s="224" t="str">
        <f t="shared" si="13"/>
        <v/>
      </c>
      <c r="D58" s="31"/>
      <c r="E58" s="224" t="str">
        <f>IF(B58="","",IFERROR(IF(INDEX('Imposed Load'!$B$16:$B$68,MATCH(B58,'Imposed Load'!$A$16:$A$68,0))="LL-SPECIAL","",INDEX('Imposed Load'!$C$16:$C$68,MATCH(B58,'Imposed Load'!$A$16:$A$68,0))),""))</f>
        <v/>
      </c>
      <c r="F58" s="31"/>
      <c r="G58" s="31"/>
      <c r="H58" s="216" t="str">
        <f t="shared" si="14"/>
        <v/>
      </c>
      <c r="I58" s="226" t="str">
        <f t="shared" si="15"/>
        <v/>
      </c>
      <c r="J58" s="216" t="str">
        <f t="shared" si="16"/>
        <v/>
      </c>
      <c r="K58" s="218" t="str">
        <f t="shared" si="17"/>
        <v/>
      </c>
      <c r="M58" s="15"/>
      <c r="N58" s="15"/>
      <c r="O58" s="223" t="s">
        <v>271</v>
      </c>
      <c r="P58" s="220" t="str">
        <f t="shared" si="11"/>
        <v/>
      </c>
      <c r="Q58" s="221" t="str">
        <f>IF(S58&lt;&gt;"",IF(AND(ISNUMBER(S58),S58&gt;=0),"OK","INVALID MANUAL LOAD"),IF(COUNTIF(TCFloors[TC ID],O58)=0,"UNUSED",IF(COUNTIFS(TCFloors[TC ID],O58,TCFloors[Check],"&lt;&gt;OK")&gt;0,"INPUT REQUIRED","OK")))</f>
        <v>UNUSED</v>
      </c>
      <c r="R58" s="222" t="str">
        <f>IF(AND(COUNTIF(TCFloors[TC ID],O58)&gt;0,COUNTIFS(TCFloors[TC ID],O58,TCFloors[Check],"&lt;&gt;OK")=0),SUMIF(TCFloors[TC ID],O58,TCFloors[Floor Load]),"")</f>
        <v/>
      </c>
      <c r="S58" s="228"/>
      <c r="T58" s="202" t="str">
        <f t="shared" si="12"/>
        <v/>
      </c>
    </row>
    <row r="59" spans="1:20" ht="28.05" customHeight="1">
      <c r="A59" s="40"/>
      <c r="B59" s="41"/>
      <c r="C59" s="224" t="str">
        <f t="shared" si="13"/>
        <v/>
      </c>
      <c r="D59" s="31"/>
      <c r="E59" s="224" t="str">
        <f>IF(B59="","",IFERROR(IF(INDEX('Imposed Load'!$B$16:$B$68,MATCH(B59,'Imposed Load'!$A$16:$A$68,0))="LL-SPECIAL","",INDEX('Imposed Load'!$C$16:$C$68,MATCH(B59,'Imposed Load'!$A$16:$A$68,0))),""))</f>
        <v/>
      </c>
      <c r="F59" s="31"/>
      <c r="G59" s="31"/>
      <c r="H59" s="216" t="str">
        <f t="shared" si="14"/>
        <v/>
      </c>
      <c r="I59" s="226" t="str">
        <f t="shared" si="15"/>
        <v/>
      </c>
      <c r="J59" s="216" t="str">
        <f t="shared" si="16"/>
        <v/>
      </c>
      <c r="K59" s="218" t="str">
        <f t="shared" si="17"/>
        <v/>
      </c>
      <c r="M59" s="15"/>
      <c r="N59" s="15"/>
      <c r="O59" s="223" t="s">
        <v>272</v>
      </c>
      <c r="P59" s="220" t="str">
        <f t="shared" si="11"/>
        <v/>
      </c>
      <c r="Q59" s="221" t="str">
        <f>IF(S59&lt;&gt;"",IF(AND(ISNUMBER(S59),S59&gt;=0),"OK","INVALID MANUAL LOAD"),IF(COUNTIF(TCFloors[TC ID],O59)=0,"UNUSED",IF(COUNTIFS(TCFloors[TC ID],O59,TCFloors[Check],"&lt;&gt;OK")&gt;0,"INPUT REQUIRED","OK")))</f>
        <v>UNUSED</v>
      </c>
      <c r="R59" s="222" t="str">
        <f>IF(AND(COUNTIF(TCFloors[TC ID],O59)&gt;0,COUNTIFS(TCFloors[TC ID],O59,TCFloors[Check],"&lt;&gt;OK")=0),SUMIF(TCFloors[TC ID],O59,TCFloors[Floor Load]),"")</f>
        <v/>
      </c>
      <c r="S59" s="228"/>
      <c r="T59" s="202" t="str">
        <f t="shared" si="12"/>
        <v/>
      </c>
    </row>
    <row r="60" spans="1:20" ht="28.05" customHeight="1">
      <c r="A60" s="40"/>
      <c r="B60" s="41"/>
      <c r="C60" s="224" t="str">
        <f t="shared" si="13"/>
        <v/>
      </c>
      <c r="D60" s="31"/>
      <c r="E60" s="224" t="str">
        <f>IF(B60="","",IFERROR(IF(INDEX('Imposed Load'!$B$16:$B$68,MATCH(B60,'Imposed Load'!$A$16:$A$68,0))="LL-SPECIAL","",INDEX('Imposed Load'!$C$16:$C$68,MATCH(B60,'Imposed Load'!$A$16:$A$68,0))),""))</f>
        <v/>
      </c>
      <c r="F60" s="31"/>
      <c r="G60" s="31"/>
      <c r="H60" s="216" t="str">
        <f t="shared" si="14"/>
        <v/>
      </c>
      <c r="I60" s="226" t="str">
        <f t="shared" si="15"/>
        <v/>
      </c>
      <c r="J60" s="216" t="str">
        <f t="shared" si="16"/>
        <v/>
      </c>
      <c r="K60" s="218" t="str">
        <f t="shared" si="17"/>
        <v/>
      </c>
      <c r="M60" s="15"/>
      <c r="N60" s="15"/>
      <c r="O60" s="223" t="s">
        <v>273</v>
      </c>
      <c r="P60" s="220" t="str">
        <f t="shared" si="11"/>
        <v/>
      </c>
      <c r="Q60" s="221" t="str">
        <f>IF(S60&lt;&gt;"",IF(AND(ISNUMBER(S60),S60&gt;=0),"OK","INVALID MANUAL LOAD"),IF(COUNTIF(TCFloors[TC ID],O60)=0,"UNUSED",IF(COUNTIFS(TCFloors[TC ID],O60,TCFloors[Check],"&lt;&gt;OK")&gt;0,"INPUT REQUIRED","OK")))</f>
        <v>UNUSED</v>
      </c>
      <c r="R60" s="222" t="str">
        <f>IF(AND(COUNTIF(TCFloors[TC ID],O60)&gt;0,COUNTIFS(TCFloors[TC ID],O60,TCFloors[Check],"&lt;&gt;OK")=0),SUMIF(TCFloors[TC ID],O60,TCFloors[Floor Load]),"")</f>
        <v/>
      </c>
      <c r="S60" s="228"/>
      <c r="T60" s="202" t="str">
        <f t="shared" si="12"/>
        <v/>
      </c>
    </row>
    <row r="61" spans="1:20" ht="28.05" customHeight="1">
      <c r="A61" s="40"/>
      <c r="B61" s="41"/>
      <c r="C61" s="224" t="str">
        <f t="shared" si="13"/>
        <v/>
      </c>
      <c r="D61" s="31"/>
      <c r="E61" s="224" t="str">
        <f>IF(B61="","",IFERROR(IF(INDEX('Imposed Load'!$B$16:$B$68,MATCH(B61,'Imposed Load'!$A$16:$A$68,0))="LL-SPECIAL","",INDEX('Imposed Load'!$C$16:$C$68,MATCH(B61,'Imposed Load'!$A$16:$A$68,0))),""))</f>
        <v/>
      </c>
      <c r="F61" s="31"/>
      <c r="G61" s="31"/>
      <c r="H61" s="216" t="str">
        <f t="shared" si="14"/>
        <v/>
      </c>
      <c r="I61" s="226" t="str">
        <f t="shared" si="15"/>
        <v/>
      </c>
      <c r="J61" s="216" t="str">
        <f t="shared" si="16"/>
        <v/>
      </c>
      <c r="K61" s="218" t="str">
        <f t="shared" si="17"/>
        <v/>
      </c>
      <c r="M61" s="15"/>
      <c r="N61" s="15"/>
      <c r="O61" s="223" t="s">
        <v>274</v>
      </c>
      <c r="P61" s="220" t="str">
        <f t="shared" si="11"/>
        <v/>
      </c>
      <c r="Q61" s="221" t="str">
        <f>IF(S61&lt;&gt;"",IF(AND(ISNUMBER(S61),S61&gt;=0),"OK","INVALID MANUAL LOAD"),IF(COUNTIF(TCFloors[TC ID],O61)=0,"UNUSED",IF(COUNTIFS(TCFloors[TC ID],O61,TCFloors[Check],"&lt;&gt;OK")&gt;0,"INPUT REQUIRED","OK")))</f>
        <v>UNUSED</v>
      </c>
      <c r="R61" s="222" t="str">
        <f>IF(AND(COUNTIF(TCFloors[TC ID],O61)&gt;0,COUNTIFS(TCFloors[TC ID],O61,TCFloors[Check],"&lt;&gt;OK")=0),SUMIF(TCFloors[TC ID],O61,TCFloors[Floor Load]),"")</f>
        <v/>
      </c>
      <c r="S61" s="228"/>
      <c r="T61" s="202" t="str">
        <f t="shared" si="12"/>
        <v/>
      </c>
    </row>
    <row r="62" spans="1:20" ht="28.05" customHeight="1">
      <c r="A62" s="40"/>
      <c r="B62" s="41"/>
      <c r="C62" s="224" t="str">
        <f t="shared" si="13"/>
        <v/>
      </c>
      <c r="D62" s="31"/>
      <c r="E62" s="224" t="str">
        <f>IF(B62="","",IFERROR(IF(INDEX('Imposed Load'!$B$16:$B$68,MATCH(B62,'Imposed Load'!$A$16:$A$68,0))="LL-SPECIAL","",INDEX('Imposed Load'!$C$16:$C$68,MATCH(B62,'Imposed Load'!$A$16:$A$68,0))),""))</f>
        <v/>
      </c>
      <c r="F62" s="31"/>
      <c r="G62" s="31"/>
      <c r="H62" s="216" t="str">
        <f t="shared" si="14"/>
        <v/>
      </c>
      <c r="I62" s="226" t="str">
        <f t="shared" si="15"/>
        <v/>
      </c>
      <c r="J62" s="216" t="str">
        <f t="shared" si="16"/>
        <v/>
      </c>
      <c r="K62" s="218" t="str">
        <f t="shared" si="17"/>
        <v/>
      </c>
      <c r="M62" s="15"/>
      <c r="N62" s="15"/>
      <c r="O62" s="223" t="s">
        <v>275</v>
      </c>
      <c r="P62" s="220" t="str">
        <f t="shared" si="11"/>
        <v/>
      </c>
      <c r="Q62" s="221" t="str">
        <f>IF(S62&lt;&gt;"",IF(AND(ISNUMBER(S62),S62&gt;=0),"OK","INVALID MANUAL LOAD"),IF(COUNTIF(TCFloors[TC ID],O62)=0,"UNUSED",IF(COUNTIFS(TCFloors[TC ID],O62,TCFloors[Check],"&lt;&gt;OK")&gt;0,"INPUT REQUIRED","OK")))</f>
        <v>UNUSED</v>
      </c>
      <c r="R62" s="222" t="str">
        <f>IF(AND(COUNTIF(TCFloors[TC ID],O62)&gt;0,COUNTIFS(TCFloors[TC ID],O62,TCFloors[Check],"&lt;&gt;OK")=0),SUMIF(TCFloors[TC ID],O62,TCFloors[Floor Load]),"")</f>
        <v/>
      </c>
      <c r="S62" s="228"/>
      <c r="T62" s="202" t="str">
        <f t="shared" si="12"/>
        <v/>
      </c>
    </row>
    <row r="63" spans="1:20" ht="28.05" customHeight="1">
      <c r="A63" s="40"/>
      <c r="B63" s="41"/>
      <c r="C63" s="224" t="str">
        <f t="shared" si="13"/>
        <v/>
      </c>
      <c r="D63" s="31"/>
      <c r="E63" s="224" t="str">
        <f>IF(B63="","",IFERROR(IF(INDEX('Imposed Load'!$B$16:$B$68,MATCH(B63,'Imposed Load'!$A$16:$A$68,0))="LL-SPECIAL","",INDEX('Imposed Load'!$C$16:$C$68,MATCH(B63,'Imposed Load'!$A$16:$A$68,0))),""))</f>
        <v/>
      </c>
      <c r="F63" s="31"/>
      <c r="G63" s="31"/>
      <c r="H63" s="216" t="str">
        <f t="shared" si="14"/>
        <v/>
      </c>
      <c r="I63" s="226" t="str">
        <f t="shared" si="15"/>
        <v/>
      </c>
      <c r="J63" s="216" t="str">
        <f t="shared" si="16"/>
        <v/>
      </c>
      <c r="K63" s="218" t="str">
        <f t="shared" si="17"/>
        <v/>
      </c>
      <c r="M63" s="15"/>
      <c r="N63" s="15"/>
      <c r="O63" s="223" t="s">
        <v>276</v>
      </c>
      <c r="P63" s="220" t="str">
        <f t="shared" si="11"/>
        <v/>
      </c>
      <c r="Q63" s="221" t="str">
        <f>IF(S63&lt;&gt;"",IF(AND(ISNUMBER(S63),S63&gt;=0),"OK","INVALID MANUAL LOAD"),IF(COUNTIF(TCFloors[TC ID],O63)=0,"UNUSED",IF(COUNTIFS(TCFloors[TC ID],O63,TCFloors[Check],"&lt;&gt;OK")&gt;0,"INPUT REQUIRED","OK")))</f>
        <v>UNUSED</v>
      </c>
      <c r="R63" s="222" t="str">
        <f>IF(AND(COUNTIF(TCFloors[TC ID],O63)&gt;0,COUNTIFS(TCFloors[TC ID],O63,TCFloors[Check],"&lt;&gt;OK")=0),SUMIF(TCFloors[TC ID],O63,TCFloors[Floor Load]),"")</f>
        <v/>
      </c>
      <c r="S63" s="228"/>
      <c r="T63" s="202" t="str">
        <f t="shared" si="12"/>
        <v/>
      </c>
    </row>
    <row r="64" spans="1:20" ht="28.05" customHeight="1">
      <c r="A64" s="40"/>
      <c r="B64" s="41"/>
      <c r="C64" s="224" t="str">
        <f t="shared" si="13"/>
        <v/>
      </c>
      <c r="D64" s="31"/>
      <c r="E64" s="224" t="str">
        <f>IF(B64="","",IFERROR(IF(INDEX('Imposed Load'!$B$16:$B$68,MATCH(B64,'Imposed Load'!$A$16:$A$68,0))="LL-SPECIAL","",INDEX('Imposed Load'!$C$16:$C$68,MATCH(B64,'Imposed Load'!$A$16:$A$68,0))),""))</f>
        <v/>
      </c>
      <c r="F64" s="31"/>
      <c r="G64" s="31"/>
      <c r="H64" s="216" t="str">
        <f t="shared" si="14"/>
        <v/>
      </c>
      <c r="I64" s="226" t="str">
        <f t="shared" si="15"/>
        <v/>
      </c>
      <c r="J64" s="216" t="str">
        <f t="shared" si="16"/>
        <v/>
      </c>
      <c r="K64" s="218" t="str">
        <f t="shared" si="17"/>
        <v/>
      </c>
      <c r="M64" s="15"/>
      <c r="N64" s="15"/>
      <c r="O64" s="223" t="s">
        <v>277</v>
      </c>
      <c r="P64" s="220" t="str">
        <f t="shared" si="11"/>
        <v/>
      </c>
      <c r="Q64" s="221" t="str">
        <f>IF(S64&lt;&gt;"",IF(AND(ISNUMBER(S64),S64&gt;=0),"OK","INVALID MANUAL LOAD"),IF(COUNTIF(TCFloors[TC ID],O64)=0,"UNUSED",IF(COUNTIFS(TCFloors[TC ID],O64,TCFloors[Check],"&lt;&gt;OK")&gt;0,"INPUT REQUIRED","OK")))</f>
        <v>UNUSED</v>
      </c>
      <c r="R64" s="222" t="str">
        <f>IF(AND(COUNTIF(TCFloors[TC ID],O64)&gt;0,COUNTIFS(TCFloors[TC ID],O64,TCFloors[Check],"&lt;&gt;OK")=0),SUMIF(TCFloors[TC ID],O64,TCFloors[Floor Load]),"")</f>
        <v/>
      </c>
      <c r="S64" s="228"/>
      <c r="T64" s="202" t="str">
        <f t="shared" si="12"/>
        <v/>
      </c>
    </row>
    <row r="65" spans="1:20" ht="28.05" customHeight="1">
      <c r="A65" s="40"/>
      <c r="B65" s="41"/>
      <c r="C65" s="224" t="str">
        <f t="shared" si="13"/>
        <v/>
      </c>
      <c r="D65" s="31"/>
      <c r="E65" s="224" t="str">
        <f>IF(B65="","",IFERROR(IF(INDEX('Imposed Load'!$B$16:$B$68,MATCH(B65,'Imposed Load'!$A$16:$A$68,0))="LL-SPECIAL","",INDEX('Imposed Load'!$C$16:$C$68,MATCH(B65,'Imposed Load'!$A$16:$A$68,0))),""))</f>
        <v/>
      </c>
      <c r="F65" s="31"/>
      <c r="G65" s="31"/>
      <c r="H65" s="216" t="str">
        <f t="shared" si="14"/>
        <v/>
      </c>
      <c r="I65" s="226" t="str">
        <f t="shared" si="15"/>
        <v/>
      </c>
      <c r="J65" s="216" t="str">
        <f t="shared" si="16"/>
        <v/>
      </c>
      <c r="K65" s="218" t="str">
        <f t="shared" si="17"/>
        <v/>
      </c>
      <c r="M65" s="15"/>
      <c r="N65" s="15"/>
      <c r="O65" s="223" t="s">
        <v>278</v>
      </c>
      <c r="P65" s="220" t="str">
        <f t="shared" si="11"/>
        <v/>
      </c>
      <c r="Q65" s="221" t="str">
        <f>IF(S65&lt;&gt;"",IF(AND(ISNUMBER(S65),S65&gt;=0),"OK","INVALID MANUAL LOAD"),IF(COUNTIF(TCFloors[TC ID],O65)=0,"UNUSED",IF(COUNTIFS(TCFloors[TC ID],O65,TCFloors[Check],"&lt;&gt;OK")&gt;0,"INPUT REQUIRED","OK")))</f>
        <v>UNUSED</v>
      </c>
      <c r="R65" s="222" t="str">
        <f>IF(AND(COUNTIF(TCFloors[TC ID],O65)&gt;0,COUNTIFS(TCFloors[TC ID],O65,TCFloors[Check],"&lt;&gt;OK")=0),SUMIF(TCFloors[TC ID],O65,TCFloors[Floor Load]),"")</f>
        <v/>
      </c>
      <c r="S65" s="228"/>
      <c r="T65" s="202" t="str">
        <f t="shared" si="12"/>
        <v/>
      </c>
    </row>
    <row r="66" spans="1:20" ht="28.05" customHeight="1">
      <c r="A66" s="40"/>
      <c r="B66" s="41"/>
      <c r="C66" s="224" t="str">
        <f t="shared" si="13"/>
        <v/>
      </c>
      <c r="D66" s="31"/>
      <c r="E66" s="224" t="str">
        <f>IF(B66="","",IFERROR(IF(INDEX('Imposed Load'!$B$16:$B$68,MATCH(B66,'Imposed Load'!$A$16:$A$68,0))="LL-SPECIAL","",INDEX('Imposed Load'!$C$16:$C$68,MATCH(B66,'Imposed Load'!$A$16:$A$68,0))),""))</f>
        <v/>
      </c>
      <c r="F66" s="31"/>
      <c r="G66" s="31"/>
      <c r="H66" s="216" t="str">
        <f t="shared" si="14"/>
        <v/>
      </c>
      <c r="I66" s="226" t="str">
        <f t="shared" si="15"/>
        <v/>
      </c>
      <c r="J66" s="216" t="str">
        <f t="shared" si="16"/>
        <v/>
      </c>
      <c r="K66" s="218" t="str">
        <f t="shared" si="17"/>
        <v/>
      </c>
      <c r="M66" s="15"/>
      <c r="N66" s="15"/>
      <c r="O66" s="223" t="s">
        <v>279</v>
      </c>
      <c r="P66" s="220" t="str">
        <f t="shared" si="11"/>
        <v/>
      </c>
      <c r="Q66" s="221" t="str">
        <f>IF(S66&lt;&gt;"",IF(AND(ISNUMBER(S66),S66&gt;=0),"OK","INVALID MANUAL LOAD"),IF(COUNTIF(TCFloors[TC ID],O66)=0,"UNUSED",IF(COUNTIFS(TCFloors[TC ID],O66,TCFloors[Check],"&lt;&gt;OK")&gt;0,"INPUT REQUIRED","OK")))</f>
        <v>UNUSED</v>
      </c>
      <c r="R66" s="222" t="str">
        <f>IF(AND(COUNTIF(TCFloors[TC ID],O66)&gt;0,COUNTIFS(TCFloors[TC ID],O66,TCFloors[Check],"&lt;&gt;OK")=0),SUMIF(TCFloors[TC ID],O66,TCFloors[Floor Load]),"")</f>
        <v/>
      </c>
      <c r="S66" s="228"/>
      <c r="T66" s="202" t="str">
        <f t="shared" si="12"/>
        <v/>
      </c>
    </row>
    <row r="67" spans="1:20" ht="28.05" customHeight="1">
      <c r="A67" s="40"/>
      <c r="B67" s="41"/>
      <c r="C67" s="224" t="str">
        <f t="shared" si="13"/>
        <v/>
      </c>
      <c r="D67" s="31"/>
      <c r="E67" s="224" t="str">
        <f>IF(B67="","",IFERROR(IF(INDEX('Imposed Load'!$B$16:$B$68,MATCH(B67,'Imposed Load'!$A$16:$A$68,0))="LL-SPECIAL","",INDEX('Imposed Load'!$C$16:$C$68,MATCH(B67,'Imposed Load'!$A$16:$A$68,0))),""))</f>
        <v/>
      </c>
      <c r="F67" s="31"/>
      <c r="G67" s="31"/>
      <c r="H67" s="216" t="str">
        <f t="shared" si="14"/>
        <v/>
      </c>
      <c r="I67" s="226" t="str">
        <f t="shared" si="15"/>
        <v/>
      </c>
      <c r="J67" s="216" t="str">
        <f t="shared" si="16"/>
        <v/>
      </c>
      <c r="K67" s="218" t="str">
        <f t="shared" si="17"/>
        <v/>
      </c>
      <c r="M67" s="15"/>
      <c r="N67" s="15"/>
      <c r="O67" s="223" t="s">
        <v>280</v>
      </c>
      <c r="P67" s="220" t="str">
        <f t="shared" si="11"/>
        <v/>
      </c>
      <c r="Q67" s="221" t="str">
        <f>IF(S67&lt;&gt;"",IF(AND(ISNUMBER(S67),S67&gt;=0),"OK","INVALID MANUAL LOAD"),IF(COUNTIF(TCFloors[TC ID],O67)=0,"UNUSED",IF(COUNTIFS(TCFloors[TC ID],O67,TCFloors[Check],"&lt;&gt;OK")&gt;0,"INPUT REQUIRED","OK")))</f>
        <v>UNUSED</v>
      </c>
      <c r="R67" s="222" t="str">
        <f>IF(AND(COUNTIF(TCFloors[TC ID],O67)&gt;0,COUNTIFS(TCFloors[TC ID],O67,TCFloors[Check],"&lt;&gt;OK")=0),SUMIF(TCFloors[TC ID],O67,TCFloors[Floor Load]),"")</f>
        <v/>
      </c>
      <c r="S67" s="228"/>
      <c r="T67" s="202" t="str">
        <f t="shared" si="12"/>
        <v/>
      </c>
    </row>
    <row r="68" spans="1:20" ht="28.05" customHeight="1">
      <c r="A68" s="40"/>
      <c r="B68" s="41"/>
      <c r="C68" s="224" t="str">
        <f t="shared" si="13"/>
        <v/>
      </c>
      <c r="D68" s="31"/>
      <c r="E68" s="224" t="str">
        <f>IF(B68="","",IFERROR(IF(INDEX('Imposed Load'!$B$16:$B$68,MATCH(B68,'Imposed Load'!$A$16:$A$68,0))="LL-SPECIAL","",INDEX('Imposed Load'!$C$16:$C$68,MATCH(B68,'Imposed Load'!$A$16:$A$68,0))),""))</f>
        <v/>
      </c>
      <c r="F68" s="31"/>
      <c r="G68" s="31"/>
      <c r="H68" s="216" t="str">
        <f t="shared" si="14"/>
        <v/>
      </c>
      <c r="I68" s="226" t="str">
        <f t="shared" si="15"/>
        <v/>
      </c>
      <c r="J68" s="216" t="str">
        <f t="shared" si="16"/>
        <v/>
      </c>
      <c r="K68" s="218" t="str">
        <f t="shared" si="17"/>
        <v/>
      </c>
      <c r="M68" s="15"/>
      <c r="N68" s="15"/>
      <c r="O68" s="223" t="s">
        <v>281</v>
      </c>
      <c r="P68" s="220" t="str">
        <f t="shared" si="11"/>
        <v/>
      </c>
      <c r="Q68" s="221" t="str">
        <f>IF(S68&lt;&gt;"",IF(AND(ISNUMBER(S68),S68&gt;=0),"OK","INVALID MANUAL LOAD"),IF(COUNTIF(TCFloors[TC ID],O68)=0,"UNUSED",IF(COUNTIFS(TCFloors[TC ID],O68,TCFloors[Check],"&lt;&gt;OK")&gt;0,"INPUT REQUIRED","OK")))</f>
        <v>UNUSED</v>
      </c>
      <c r="R68" s="222" t="str">
        <f>IF(AND(COUNTIF(TCFloors[TC ID],O68)&gt;0,COUNTIFS(TCFloors[TC ID],O68,TCFloors[Check],"&lt;&gt;OK")=0),SUMIF(TCFloors[TC ID],O68,TCFloors[Floor Load]),"")</f>
        <v/>
      </c>
      <c r="S68" s="228"/>
      <c r="T68" s="202" t="str">
        <f t="shared" si="12"/>
        <v/>
      </c>
    </row>
    <row r="69" spans="1:20" ht="28.05" customHeight="1">
      <c r="A69" s="40"/>
      <c r="B69" s="41"/>
      <c r="C69" s="224" t="str">
        <f t="shared" si="13"/>
        <v/>
      </c>
      <c r="D69" s="31"/>
      <c r="E69" s="224" t="str">
        <f>IF(B69="","",IFERROR(IF(INDEX('Imposed Load'!$B$16:$B$68,MATCH(B69,'Imposed Load'!$A$16:$A$68,0))="LL-SPECIAL","",INDEX('Imposed Load'!$C$16:$C$68,MATCH(B69,'Imposed Load'!$A$16:$A$68,0))),""))</f>
        <v/>
      </c>
      <c r="F69" s="31"/>
      <c r="G69" s="31"/>
      <c r="H69" s="216" t="str">
        <f t="shared" si="14"/>
        <v/>
      </c>
      <c r="I69" s="226" t="str">
        <f t="shared" si="15"/>
        <v/>
      </c>
      <c r="J69" s="216" t="str">
        <f t="shared" si="16"/>
        <v/>
      </c>
      <c r="K69" s="218" t="str">
        <f t="shared" si="17"/>
        <v/>
      </c>
      <c r="M69" s="15"/>
      <c r="N69" s="15"/>
      <c r="O69" s="223" t="s">
        <v>282</v>
      </c>
      <c r="P69" s="220" t="str">
        <f t="shared" ref="P69:P100" si="18">IF(Q69&lt;&gt;"OK","",IF(S69&lt;&gt;"",S69,R69))</f>
        <v/>
      </c>
      <c r="Q69" s="221" t="str">
        <f>IF(S69&lt;&gt;"",IF(AND(ISNUMBER(S69),S69&gt;=0),"OK","INVALID MANUAL LOAD"),IF(COUNTIF(TCFloors[TC ID],O69)=0,"UNUSED",IF(COUNTIFS(TCFloors[TC ID],O69,TCFloors[Check],"&lt;&gt;OK")&gt;0,"INPUT REQUIRED","OK")))</f>
        <v>UNUSED</v>
      </c>
      <c r="R69" s="222" t="str">
        <f>IF(AND(COUNTIF(TCFloors[TC ID],O69)&gt;0,COUNTIFS(TCFloors[TC ID],O69,TCFloors[Check],"&lt;&gt;OK")=0),SUMIF(TCFloors[TC ID],O69,TCFloors[Floor Load]),"")</f>
        <v/>
      </c>
      <c r="S69" s="228"/>
      <c r="T69" s="202" t="str">
        <f t="shared" ref="T69:T100" si="19">IF(S69&lt;&gt;"","MANUAL OVERRIDE",IF(Q69="UNUSED","","FLOOR DETAILS"))</f>
        <v/>
      </c>
    </row>
    <row r="70" spans="1:20" ht="28.05" customHeight="1">
      <c r="A70" s="40"/>
      <c r="B70" s="41"/>
      <c r="C70" s="224" t="str">
        <f t="shared" ref="C70:C101" si="20">IF(A70="","",10)</f>
        <v/>
      </c>
      <c r="D70" s="31"/>
      <c r="E70" s="224" t="str">
        <f>IF(B70="","",IFERROR(IF(INDEX('Imposed Load'!$B$16:$B$68,MATCH(B70,'Imposed Load'!$A$16:$A$68,0))="LL-SPECIAL","",INDEX('Imposed Load'!$C$16:$C$68,MATCH(B70,'Imposed Load'!$A$16:$A$68,0))),""))</f>
        <v/>
      </c>
      <c r="F70" s="31"/>
      <c r="G70" s="31"/>
      <c r="H70" s="216" t="str">
        <f t="shared" ref="H70:H101" si="21">IF(OR(F70="",G70=""),"",F70*G70)</f>
        <v/>
      </c>
      <c r="I70" s="226" t="str">
        <f t="shared" ref="I70:I101" si="22">IF(A70="","",1)</f>
        <v/>
      </c>
      <c r="J70" s="216" t="str">
        <f t="shared" ref="J70:J101" si="23">IF(K70&lt;&gt;"OK","",H70*I70*(1.4*(C70+D70)+1.6*E70))</f>
        <v/>
      </c>
      <c r="K70" s="218" t="str">
        <f t="shared" ref="K70:K101" si="24">IF(AND(A70="",B70="",F70="",G70=""),"",IF(OR(COUNTIF($O$5:$O$104,A70)&lt;&gt;1,B70="",COUNT(C70:G70,I70)&lt;&gt;6,MIN(C70:E70)&lt;0,F70&lt;=0,G70&lt;=0,I70&lt;=0,MOD(I70,1)&lt;&gt;0),"INPUT REQUIRED","OK"))</f>
        <v/>
      </c>
      <c r="M70" s="15"/>
      <c r="N70" s="15"/>
      <c r="O70" s="223" t="s">
        <v>283</v>
      </c>
      <c r="P70" s="220" t="str">
        <f t="shared" si="18"/>
        <v/>
      </c>
      <c r="Q70" s="221" t="str">
        <f>IF(S70&lt;&gt;"",IF(AND(ISNUMBER(S70),S70&gt;=0),"OK","INVALID MANUAL LOAD"),IF(COUNTIF(TCFloors[TC ID],O70)=0,"UNUSED",IF(COUNTIFS(TCFloors[TC ID],O70,TCFloors[Check],"&lt;&gt;OK")&gt;0,"INPUT REQUIRED","OK")))</f>
        <v>UNUSED</v>
      </c>
      <c r="R70" s="222" t="str">
        <f>IF(AND(COUNTIF(TCFloors[TC ID],O70)&gt;0,COUNTIFS(TCFloors[TC ID],O70,TCFloors[Check],"&lt;&gt;OK")=0),SUMIF(TCFloors[TC ID],O70,TCFloors[Floor Load]),"")</f>
        <v/>
      </c>
      <c r="S70" s="228"/>
      <c r="T70" s="202" t="str">
        <f t="shared" si="19"/>
        <v/>
      </c>
    </row>
    <row r="71" spans="1:20" ht="28.05" customHeight="1">
      <c r="A71" s="40"/>
      <c r="B71" s="41"/>
      <c r="C71" s="224" t="str">
        <f t="shared" si="20"/>
        <v/>
      </c>
      <c r="D71" s="31"/>
      <c r="E71" s="224" t="str">
        <f>IF(B71="","",IFERROR(IF(INDEX('Imposed Load'!$B$16:$B$68,MATCH(B71,'Imposed Load'!$A$16:$A$68,0))="LL-SPECIAL","",INDEX('Imposed Load'!$C$16:$C$68,MATCH(B71,'Imposed Load'!$A$16:$A$68,0))),""))</f>
        <v/>
      </c>
      <c r="F71" s="31"/>
      <c r="G71" s="31"/>
      <c r="H71" s="216" t="str">
        <f t="shared" si="21"/>
        <v/>
      </c>
      <c r="I71" s="226" t="str">
        <f t="shared" si="22"/>
        <v/>
      </c>
      <c r="J71" s="216" t="str">
        <f t="shared" si="23"/>
        <v/>
      </c>
      <c r="K71" s="218" t="str">
        <f t="shared" si="24"/>
        <v/>
      </c>
      <c r="M71" s="15"/>
      <c r="N71" s="15"/>
      <c r="O71" s="223" t="s">
        <v>284</v>
      </c>
      <c r="P71" s="220" t="str">
        <f t="shared" si="18"/>
        <v/>
      </c>
      <c r="Q71" s="221" t="str">
        <f>IF(S71&lt;&gt;"",IF(AND(ISNUMBER(S71),S71&gt;=0),"OK","INVALID MANUAL LOAD"),IF(COUNTIF(TCFloors[TC ID],O71)=0,"UNUSED",IF(COUNTIFS(TCFloors[TC ID],O71,TCFloors[Check],"&lt;&gt;OK")&gt;0,"INPUT REQUIRED","OK")))</f>
        <v>UNUSED</v>
      </c>
      <c r="R71" s="222" t="str">
        <f>IF(AND(COUNTIF(TCFloors[TC ID],O71)&gt;0,COUNTIFS(TCFloors[TC ID],O71,TCFloors[Check],"&lt;&gt;OK")=0),SUMIF(TCFloors[TC ID],O71,TCFloors[Floor Load]),"")</f>
        <v/>
      </c>
      <c r="S71" s="228"/>
      <c r="T71" s="202" t="str">
        <f t="shared" si="19"/>
        <v/>
      </c>
    </row>
    <row r="72" spans="1:20" ht="28.05" customHeight="1">
      <c r="A72" s="40"/>
      <c r="B72" s="41"/>
      <c r="C72" s="224" t="str">
        <f t="shared" si="20"/>
        <v/>
      </c>
      <c r="D72" s="31"/>
      <c r="E72" s="224" t="str">
        <f>IF(B72="","",IFERROR(IF(INDEX('Imposed Load'!$B$16:$B$68,MATCH(B72,'Imposed Load'!$A$16:$A$68,0))="LL-SPECIAL","",INDEX('Imposed Load'!$C$16:$C$68,MATCH(B72,'Imposed Load'!$A$16:$A$68,0))),""))</f>
        <v/>
      </c>
      <c r="F72" s="31"/>
      <c r="G72" s="31"/>
      <c r="H72" s="216" t="str">
        <f t="shared" si="21"/>
        <v/>
      </c>
      <c r="I72" s="226" t="str">
        <f t="shared" si="22"/>
        <v/>
      </c>
      <c r="J72" s="216" t="str">
        <f t="shared" si="23"/>
        <v/>
      </c>
      <c r="K72" s="218" t="str">
        <f t="shared" si="24"/>
        <v/>
      </c>
      <c r="M72" s="15"/>
      <c r="N72" s="15"/>
      <c r="O72" s="223" t="s">
        <v>285</v>
      </c>
      <c r="P72" s="220" t="str">
        <f t="shared" si="18"/>
        <v/>
      </c>
      <c r="Q72" s="221" t="str">
        <f>IF(S72&lt;&gt;"",IF(AND(ISNUMBER(S72),S72&gt;=0),"OK","INVALID MANUAL LOAD"),IF(COUNTIF(TCFloors[TC ID],O72)=0,"UNUSED",IF(COUNTIFS(TCFloors[TC ID],O72,TCFloors[Check],"&lt;&gt;OK")&gt;0,"INPUT REQUIRED","OK")))</f>
        <v>UNUSED</v>
      </c>
      <c r="R72" s="222" t="str">
        <f>IF(AND(COUNTIF(TCFloors[TC ID],O72)&gt;0,COUNTIFS(TCFloors[TC ID],O72,TCFloors[Check],"&lt;&gt;OK")=0),SUMIF(TCFloors[TC ID],O72,TCFloors[Floor Load]),"")</f>
        <v/>
      </c>
      <c r="S72" s="228"/>
      <c r="T72" s="202" t="str">
        <f t="shared" si="19"/>
        <v/>
      </c>
    </row>
    <row r="73" spans="1:20" ht="28.05" customHeight="1">
      <c r="A73" s="40"/>
      <c r="B73" s="41"/>
      <c r="C73" s="224" t="str">
        <f t="shared" si="20"/>
        <v/>
      </c>
      <c r="D73" s="31"/>
      <c r="E73" s="224" t="str">
        <f>IF(B73="","",IFERROR(IF(INDEX('Imposed Load'!$B$16:$B$68,MATCH(B73,'Imposed Load'!$A$16:$A$68,0))="LL-SPECIAL","",INDEX('Imposed Load'!$C$16:$C$68,MATCH(B73,'Imposed Load'!$A$16:$A$68,0))),""))</f>
        <v/>
      </c>
      <c r="F73" s="31"/>
      <c r="G73" s="31"/>
      <c r="H73" s="216" t="str">
        <f t="shared" si="21"/>
        <v/>
      </c>
      <c r="I73" s="226" t="str">
        <f t="shared" si="22"/>
        <v/>
      </c>
      <c r="J73" s="216" t="str">
        <f t="shared" si="23"/>
        <v/>
      </c>
      <c r="K73" s="218" t="str">
        <f t="shared" si="24"/>
        <v/>
      </c>
      <c r="M73" s="15"/>
      <c r="N73" s="15"/>
      <c r="O73" s="223" t="s">
        <v>286</v>
      </c>
      <c r="P73" s="220" t="str">
        <f t="shared" si="18"/>
        <v/>
      </c>
      <c r="Q73" s="221" t="str">
        <f>IF(S73&lt;&gt;"",IF(AND(ISNUMBER(S73),S73&gt;=0),"OK","INVALID MANUAL LOAD"),IF(COUNTIF(TCFloors[TC ID],O73)=0,"UNUSED",IF(COUNTIFS(TCFloors[TC ID],O73,TCFloors[Check],"&lt;&gt;OK")&gt;0,"INPUT REQUIRED","OK")))</f>
        <v>UNUSED</v>
      </c>
      <c r="R73" s="222" t="str">
        <f>IF(AND(COUNTIF(TCFloors[TC ID],O73)&gt;0,COUNTIFS(TCFloors[TC ID],O73,TCFloors[Check],"&lt;&gt;OK")=0),SUMIF(TCFloors[TC ID],O73,TCFloors[Floor Load]),"")</f>
        <v/>
      </c>
      <c r="S73" s="228"/>
      <c r="T73" s="202" t="str">
        <f t="shared" si="19"/>
        <v/>
      </c>
    </row>
    <row r="74" spans="1:20" ht="28.05" customHeight="1">
      <c r="A74" s="40"/>
      <c r="B74" s="41"/>
      <c r="C74" s="224" t="str">
        <f t="shared" si="20"/>
        <v/>
      </c>
      <c r="D74" s="31"/>
      <c r="E74" s="224" t="str">
        <f>IF(B74="","",IFERROR(IF(INDEX('Imposed Load'!$B$16:$B$68,MATCH(B74,'Imposed Load'!$A$16:$A$68,0))="LL-SPECIAL","",INDEX('Imposed Load'!$C$16:$C$68,MATCH(B74,'Imposed Load'!$A$16:$A$68,0))),""))</f>
        <v/>
      </c>
      <c r="F74" s="31"/>
      <c r="G74" s="31"/>
      <c r="H74" s="216" t="str">
        <f t="shared" si="21"/>
        <v/>
      </c>
      <c r="I74" s="226" t="str">
        <f t="shared" si="22"/>
        <v/>
      </c>
      <c r="J74" s="216" t="str">
        <f t="shared" si="23"/>
        <v/>
      </c>
      <c r="K74" s="218" t="str">
        <f t="shared" si="24"/>
        <v/>
      </c>
      <c r="M74" s="15"/>
      <c r="N74" s="15"/>
      <c r="O74" s="223" t="s">
        <v>287</v>
      </c>
      <c r="P74" s="220" t="str">
        <f t="shared" si="18"/>
        <v/>
      </c>
      <c r="Q74" s="221" t="str">
        <f>IF(S74&lt;&gt;"",IF(AND(ISNUMBER(S74),S74&gt;=0),"OK","INVALID MANUAL LOAD"),IF(COUNTIF(TCFloors[TC ID],O74)=0,"UNUSED",IF(COUNTIFS(TCFloors[TC ID],O74,TCFloors[Check],"&lt;&gt;OK")&gt;0,"INPUT REQUIRED","OK")))</f>
        <v>UNUSED</v>
      </c>
      <c r="R74" s="222" t="str">
        <f>IF(AND(COUNTIF(TCFloors[TC ID],O74)&gt;0,COUNTIFS(TCFloors[TC ID],O74,TCFloors[Check],"&lt;&gt;OK")=0),SUMIF(TCFloors[TC ID],O74,TCFloors[Floor Load]),"")</f>
        <v/>
      </c>
      <c r="S74" s="228"/>
      <c r="T74" s="202" t="str">
        <f t="shared" si="19"/>
        <v/>
      </c>
    </row>
    <row r="75" spans="1:20" ht="28.05" customHeight="1">
      <c r="A75" s="40"/>
      <c r="B75" s="41"/>
      <c r="C75" s="224" t="str">
        <f t="shared" si="20"/>
        <v/>
      </c>
      <c r="D75" s="31"/>
      <c r="E75" s="224" t="str">
        <f>IF(B75="","",IFERROR(IF(INDEX('Imposed Load'!$B$16:$B$68,MATCH(B75,'Imposed Load'!$A$16:$A$68,0))="LL-SPECIAL","",INDEX('Imposed Load'!$C$16:$C$68,MATCH(B75,'Imposed Load'!$A$16:$A$68,0))),""))</f>
        <v/>
      </c>
      <c r="F75" s="31"/>
      <c r="G75" s="31"/>
      <c r="H75" s="216" t="str">
        <f t="shared" si="21"/>
        <v/>
      </c>
      <c r="I75" s="226" t="str">
        <f t="shared" si="22"/>
        <v/>
      </c>
      <c r="J75" s="216" t="str">
        <f t="shared" si="23"/>
        <v/>
      </c>
      <c r="K75" s="218" t="str">
        <f t="shared" si="24"/>
        <v/>
      </c>
      <c r="M75" s="15"/>
      <c r="N75" s="15"/>
      <c r="O75" s="223" t="s">
        <v>288</v>
      </c>
      <c r="P75" s="220" t="str">
        <f t="shared" si="18"/>
        <v/>
      </c>
      <c r="Q75" s="221" t="str">
        <f>IF(S75&lt;&gt;"",IF(AND(ISNUMBER(S75),S75&gt;=0),"OK","INVALID MANUAL LOAD"),IF(COUNTIF(TCFloors[TC ID],O75)=0,"UNUSED",IF(COUNTIFS(TCFloors[TC ID],O75,TCFloors[Check],"&lt;&gt;OK")&gt;0,"INPUT REQUIRED","OK")))</f>
        <v>UNUSED</v>
      </c>
      <c r="R75" s="222" t="str">
        <f>IF(AND(COUNTIF(TCFloors[TC ID],O75)&gt;0,COUNTIFS(TCFloors[TC ID],O75,TCFloors[Check],"&lt;&gt;OK")=0),SUMIF(TCFloors[TC ID],O75,TCFloors[Floor Load]),"")</f>
        <v/>
      </c>
      <c r="S75" s="228"/>
      <c r="T75" s="202" t="str">
        <f t="shared" si="19"/>
        <v/>
      </c>
    </row>
    <row r="76" spans="1:20" ht="28.05" customHeight="1">
      <c r="A76" s="40"/>
      <c r="B76" s="41"/>
      <c r="C76" s="224" t="str">
        <f t="shared" si="20"/>
        <v/>
      </c>
      <c r="D76" s="31"/>
      <c r="E76" s="224" t="str">
        <f>IF(B76="","",IFERROR(IF(INDEX('Imposed Load'!$B$16:$B$68,MATCH(B76,'Imposed Load'!$A$16:$A$68,0))="LL-SPECIAL","",INDEX('Imposed Load'!$C$16:$C$68,MATCH(B76,'Imposed Load'!$A$16:$A$68,0))),""))</f>
        <v/>
      </c>
      <c r="F76" s="31"/>
      <c r="G76" s="31"/>
      <c r="H76" s="216" t="str">
        <f t="shared" si="21"/>
        <v/>
      </c>
      <c r="I76" s="226" t="str">
        <f t="shared" si="22"/>
        <v/>
      </c>
      <c r="J76" s="216" t="str">
        <f t="shared" si="23"/>
        <v/>
      </c>
      <c r="K76" s="218" t="str">
        <f t="shared" si="24"/>
        <v/>
      </c>
      <c r="M76" s="15"/>
      <c r="N76" s="15"/>
      <c r="O76" s="223" t="s">
        <v>289</v>
      </c>
      <c r="P76" s="220" t="str">
        <f t="shared" si="18"/>
        <v/>
      </c>
      <c r="Q76" s="221" t="str">
        <f>IF(S76&lt;&gt;"",IF(AND(ISNUMBER(S76),S76&gt;=0),"OK","INVALID MANUAL LOAD"),IF(COUNTIF(TCFloors[TC ID],O76)=0,"UNUSED",IF(COUNTIFS(TCFloors[TC ID],O76,TCFloors[Check],"&lt;&gt;OK")&gt;0,"INPUT REQUIRED","OK")))</f>
        <v>UNUSED</v>
      </c>
      <c r="R76" s="222" t="str">
        <f>IF(AND(COUNTIF(TCFloors[TC ID],O76)&gt;0,COUNTIFS(TCFloors[TC ID],O76,TCFloors[Check],"&lt;&gt;OK")=0),SUMIF(TCFloors[TC ID],O76,TCFloors[Floor Load]),"")</f>
        <v/>
      </c>
      <c r="S76" s="228"/>
      <c r="T76" s="202" t="str">
        <f t="shared" si="19"/>
        <v/>
      </c>
    </row>
    <row r="77" spans="1:20" ht="28.05" customHeight="1">
      <c r="A77" s="40"/>
      <c r="B77" s="41"/>
      <c r="C77" s="224" t="str">
        <f t="shared" si="20"/>
        <v/>
      </c>
      <c r="D77" s="31"/>
      <c r="E77" s="224" t="str">
        <f>IF(B77="","",IFERROR(IF(INDEX('Imposed Load'!$B$16:$B$68,MATCH(B77,'Imposed Load'!$A$16:$A$68,0))="LL-SPECIAL","",INDEX('Imposed Load'!$C$16:$C$68,MATCH(B77,'Imposed Load'!$A$16:$A$68,0))),""))</f>
        <v/>
      </c>
      <c r="F77" s="31"/>
      <c r="G77" s="31"/>
      <c r="H77" s="216" t="str">
        <f t="shared" si="21"/>
        <v/>
      </c>
      <c r="I77" s="226" t="str">
        <f t="shared" si="22"/>
        <v/>
      </c>
      <c r="J77" s="216" t="str">
        <f t="shared" si="23"/>
        <v/>
      </c>
      <c r="K77" s="218" t="str">
        <f t="shared" si="24"/>
        <v/>
      </c>
      <c r="M77" s="15"/>
      <c r="N77" s="15"/>
      <c r="O77" s="223" t="s">
        <v>290</v>
      </c>
      <c r="P77" s="220" t="str">
        <f t="shared" si="18"/>
        <v/>
      </c>
      <c r="Q77" s="221" t="str">
        <f>IF(S77&lt;&gt;"",IF(AND(ISNUMBER(S77),S77&gt;=0),"OK","INVALID MANUAL LOAD"),IF(COUNTIF(TCFloors[TC ID],O77)=0,"UNUSED",IF(COUNTIFS(TCFloors[TC ID],O77,TCFloors[Check],"&lt;&gt;OK")&gt;0,"INPUT REQUIRED","OK")))</f>
        <v>UNUSED</v>
      </c>
      <c r="R77" s="222" t="str">
        <f>IF(AND(COUNTIF(TCFloors[TC ID],O77)&gt;0,COUNTIFS(TCFloors[TC ID],O77,TCFloors[Check],"&lt;&gt;OK")=0),SUMIF(TCFloors[TC ID],O77,TCFloors[Floor Load]),"")</f>
        <v/>
      </c>
      <c r="S77" s="228"/>
      <c r="T77" s="202" t="str">
        <f t="shared" si="19"/>
        <v/>
      </c>
    </row>
    <row r="78" spans="1:20" ht="28.05" customHeight="1">
      <c r="A78" s="40"/>
      <c r="B78" s="41"/>
      <c r="C78" s="224" t="str">
        <f t="shared" si="20"/>
        <v/>
      </c>
      <c r="D78" s="31"/>
      <c r="E78" s="224" t="str">
        <f>IF(B78="","",IFERROR(IF(INDEX('Imposed Load'!$B$16:$B$68,MATCH(B78,'Imposed Load'!$A$16:$A$68,0))="LL-SPECIAL","",INDEX('Imposed Load'!$C$16:$C$68,MATCH(B78,'Imposed Load'!$A$16:$A$68,0))),""))</f>
        <v/>
      </c>
      <c r="F78" s="31"/>
      <c r="G78" s="31"/>
      <c r="H78" s="216" t="str">
        <f t="shared" si="21"/>
        <v/>
      </c>
      <c r="I78" s="226" t="str">
        <f t="shared" si="22"/>
        <v/>
      </c>
      <c r="J78" s="216" t="str">
        <f t="shared" si="23"/>
        <v/>
      </c>
      <c r="K78" s="218" t="str">
        <f t="shared" si="24"/>
        <v/>
      </c>
      <c r="M78" s="15"/>
      <c r="N78" s="15"/>
      <c r="O78" s="223" t="s">
        <v>291</v>
      </c>
      <c r="P78" s="220" t="str">
        <f t="shared" si="18"/>
        <v/>
      </c>
      <c r="Q78" s="221" t="str">
        <f>IF(S78&lt;&gt;"",IF(AND(ISNUMBER(S78),S78&gt;=0),"OK","INVALID MANUAL LOAD"),IF(COUNTIF(TCFloors[TC ID],O78)=0,"UNUSED",IF(COUNTIFS(TCFloors[TC ID],O78,TCFloors[Check],"&lt;&gt;OK")&gt;0,"INPUT REQUIRED","OK")))</f>
        <v>UNUSED</v>
      </c>
      <c r="R78" s="222" t="str">
        <f>IF(AND(COUNTIF(TCFloors[TC ID],O78)&gt;0,COUNTIFS(TCFloors[TC ID],O78,TCFloors[Check],"&lt;&gt;OK")=0),SUMIF(TCFloors[TC ID],O78,TCFloors[Floor Load]),"")</f>
        <v/>
      </c>
      <c r="S78" s="228"/>
      <c r="T78" s="202" t="str">
        <f t="shared" si="19"/>
        <v/>
      </c>
    </row>
    <row r="79" spans="1:20" ht="28.05" customHeight="1">
      <c r="A79" s="40"/>
      <c r="B79" s="41"/>
      <c r="C79" s="224" t="str">
        <f t="shared" si="20"/>
        <v/>
      </c>
      <c r="D79" s="31"/>
      <c r="E79" s="224" t="str">
        <f>IF(B79="","",IFERROR(IF(INDEX('Imposed Load'!$B$16:$B$68,MATCH(B79,'Imposed Load'!$A$16:$A$68,0))="LL-SPECIAL","",INDEX('Imposed Load'!$C$16:$C$68,MATCH(B79,'Imposed Load'!$A$16:$A$68,0))),""))</f>
        <v/>
      </c>
      <c r="F79" s="31"/>
      <c r="G79" s="31"/>
      <c r="H79" s="216" t="str">
        <f t="shared" si="21"/>
        <v/>
      </c>
      <c r="I79" s="226" t="str">
        <f t="shared" si="22"/>
        <v/>
      </c>
      <c r="J79" s="216" t="str">
        <f t="shared" si="23"/>
        <v/>
      </c>
      <c r="K79" s="218" t="str">
        <f t="shared" si="24"/>
        <v/>
      </c>
      <c r="M79" s="15"/>
      <c r="N79" s="15"/>
      <c r="O79" s="223" t="s">
        <v>292</v>
      </c>
      <c r="P79" s="220" t="str">
        <f t="shared" si="18"/>
        <v/>
      </c>
      <c r="Q79" s="221" t="str">
        <f>IF(S79&lt;&gt;"",IF(AND(ISNUMBER(S79),S79&gt;=0),"OK","INVALID MANUAL LOAD"),IF(COUNTIF(TCFloors[TC ID],O79)=0,"UNUSED",IF(COUNTIFS(TCFloors[TC ID],O79,TCFloors[Check],"&lt;&gt;OK")&gt;0,"INPUT REQUIRED","OK")))</f>
        <v>UNUSED</v>
      </c>
      <c r="R79" s="222" t="str">
        <f>IF(AND(COUNTIF(TCFloors[TC ID],O79)&gt;0,COUNTIFS(TCFloors[TC ID],O79,TCFloors[Check],"&lt;&gt;OK")=0),SUMIF(TCFloors[TC ID],O79,TCFloors[Floor Load]),"")</f>
        <v/>
      </c>
      <c r="S79" s="228"/>
      <c r="T79" s="202" t="str">
        <f t="shared" si="19"/>
        <v/>
      </c>
    </row>
    <row r="80" spans="1:20" ht="28.05" customHeight="1">
      <c r="A80" s="40"/>
      <c r="B80" s="41"/>
      <c r="C80" s="224" t="str">
        <f t="shared" si="20"/>
        <v/>
      </c>
      <c r="D80" s="31"/>
      <c r="E80" s="224" t="str">
        <f>IF(B80="","",IFERROR(IF(INDEX('Imposed Load'!$B$16:$B$68,MATCH(B80,'Imposed Load'!$A$16:$A$68,0))="LL-SPECIAL","",INDEX('Imposed Load'!$C$16:$C$68,MATCH(B80,'Imposed Load'!$A$16:$A$68,0))),""))</f>
        <v/>
      </c>
      <c r="F80" s="31"/>
      <c r="G80" s="31"/>
      <c r="H80" s="216" t="str">
        <f t="shared" si="21"/>
        <v/>
      </c>
      <c r="I80" s="226" t="str">
        <f t="shared" si="22"/>
        <v/>
      </c>
      <c r="J80" s="216" t="str">
        <f t="shared" si="23"/>
        <v/>
      </c>
      <c r="K80" s="218" t="str">
        <f t="shared" si="24"/>
        <v/>
      </c>
      <c r="M80" s="15"/>
      <c r="N80" s="15"/>
      <c r="O80" s="223" t="s">
        <v>293</v>
      </c>
      <c r="P80" s="220" t="str">
        <f t="shared" si="18"/>
        <v/>
      </c>
      <c r="Q80" s="221" t="str">
        <f>IF(S80&lt;&gt;"",IF(AND(ISNUMBER(S80),S80&gt;=0),"OK","INVALID MANUAL LOAD"),IF(COUNTIF(TCFloors[TC ID],O80)=0,"UNUSED",IF(COUNTIFS(TCFloors[TC ID],O80,TCFloors[Check],"&lt;&gt;OK")&gt;0,"INPUT REQUIRED","OK")))</f>
        <v>UNUSED</v>
      </c>
      <c r="R80" s="222" t="str">
        <f>IF(AND(COUNTIF(TCFloors[TC ID],O80)&gt;0,COUNTIFS(TCFloors[TC ID],O80,TCFloors[Check],"&lt;&gt;OK")=0),SUMIF(TCFloors[TC ID],O80,TCFloors[Floor Load]),"")</f>
        <v/>
      </c>
      <c r="S80" s="228"/>
      <c r="T80" s="202" t="str">
        <f t="shared" si="19"/>
        <v/>
      </c>
    </row>
    <row r="81" spans="1:20" ht="28.05" customHeight="1">
      <c r="A81" s="40"/>
      <c r="B81" s="41"/>
      <c r="C81" s="224" t="str">
        <f t="shared" si="20"/>
        <v/>
      </c>
      <c r="D81" s="31"/>
      <c r="E81" s="224" t="str">
        <f>IF(B81="","",IFERROR(IF(INDEX('Imposed Load'!$B$16:$B$68,MATCH(B81,'Imposed Load'!$A$16:$A$68,0))="LL-SPECIAL","",INDEX('Imposed Load'!$C$16:$C$68,MATCH(B81,'Imposed Load'!$A$16:$A$68,0))),""))</f>
        <v/>
      </c>
      <c r="F81" s="31"/>
      <c r="G81" s="31"/>
      <c r="H81" s="216" t="str">
        <f t="shared" si="21"/>
        <v/>
      </c>
      <c r="I81" s="226" t="str">
        <f t="shared" si="22"/>
        <v/>
      </c>
      <c r="J81" s="216" t="str">
        <f t="shared" si="23"/>
        <v/>
      </c>
      <c r="K81" s="218" t="str">
        <f t="shared" si="24"/>
        <v/>
      </c>
      <c r="M81" s="15"/>
      <c r="N81" s="15"/>
      <c r="O81" s="223" t="s">
        <v>294</v>
      </c>
      <c r="P81" s="220" t="str">
        <f t="shared" si="18"/>
        <v/>
      </c>
      <c r="Q81" s="221" t="str">
        <f>IF(S81&lt;&gt;"",IF(AND(ISNUMBER(S81),S81&gt;=0),"OK","INVALID MANUAL LOAD"),IF(COUNTIF(TCFloors[TC ID],O81)=0,"UNUSED",IF(COUNTIFS(TCFloors[TC ID],O81,TCFloors[Check],"&lt;&gt;OK")&gt;0,"INPUT REQUIRED","OK")))</f>
        <v>UNUSED</v>
      </c>
      <c r="R81" s="222" t="str">
        <f>IF(AND(COUNTIF(TCFloors[TC ID],O81)&gt;0,COUNTIFS(TCFloors[TC ID],O81,TCFloors[Check],"&lt;&gt;OK")=0),SUMIF(TCFloors[TC ID],O81,TCFloors[Floor Load]),"")</f>
        <v/>
      </c>
      <c r="S81" s="228"/>
      <c r="T81" s="202" t="str">
        <f t="shared" si="19"/>
        <v/>
      </c>
    </row>
    <row r="82" spans="1:20" ht="28.05" customHeight="1">
      <c r="A82" s="40"/>
      <c r="B82" s="41"/>
      <c r="C82" s="224" t="str">
        <f t="shared" si="20"/>
        <v/>
      </c>
      <c r="D82" s="31"/>
      <c r="E82" s="224" t="str">
        <f>IF(B82="","",IFERROR(IF(INDEX('Imposed Load'!$B$16:$B$68,MATCH(B82,'Imposed Load'!$A$16:$A$68,0))="LL-SPECIAL","",INDEX('Imposed Load'!$C$16:$C$68,MATCH(B82,'Imposed Load'!$A$16:$A$68,0))),""))</f>
        <v/>
      </c>
      <c r="F82" s="31"/>
      <c r="G82" s="31"/>
      <c r="H82" s="216" t="str">
        <f t="shared" si="21"/>
        <v/>
      </c>
      <c r="I82" s="226" t="str">
        <f t="shared" si="22"/>
        <v/>
      </c>
      <c r="J82" s="216" t="str">
        <f t="shared" si="23"/>
        <v/>
      </c>
      <c r="K82" s="218" t="str">
        <f t="shared" si="24"/>
        <v/>
      </c>
      <c r="M82" s="15"/>
      <c r="N82" s="15"/>
      <c r="O82" s="223" t="s">
        <v>295</v>
      </c>
      <c r="P82" s="220" t="str">
        <f t="shared" si="18"/>
        <v/>
      </c>
      <c r="Q82" s="221" t="str">
        <f>IF(S82&lt;&gt;"",IF(AND(ISNUMBER(S82),S82&gt;=0),"OK","INVALID MANUAL LOAD"),IF(COUNTIF(TCFloors[TC ID],O82)=0,"UNUSED",IF(COUNTIFS(TCFloors[TC ID],O82,TCFloors[Check],"&lt;&gt;OK")&gt;0,"INPUT REQUIRED","OK")))</f>
        <v>UNUSED</v>
      </c>
      <c r="R82" s="222" t="str">
        <f>IF(AND(COUNTIF(TCFloors[TC ID],O82)&gt;0,COUNTIFS(TCFloors[TC ID],O82,TCFloors[Check],"&lt;&gt;OK")=0),SUMIF(TCFloors[TC ID],O82,TCFloors[Floor Load]),"")</f>
        <v/>
      </c>
      <c r="S82" s="228"/>
      <c r="T82" s="202" t="str">
        <f t="shared" si="19"/>
        <v/>
      </c>
    </row>
    <row r="83" spans="1:20" ht="28.05" customHeight="1">
      <c r="A83" s="40"/>
      <c r="B83" s="41"/>
      <c r="C83" s="224" t="str">
        <f t="shared" si="20"/>
        <v/>
      </c>
      <c r="D83" s="31"/>
      <c r="E83" s="224" t="str">
        <f>IF(B83="","",IFERROR(IF(INDEX('Imposed Load'!$B$16:$B$68,MATCH(B83,'Imposed Load'!$A$16:$A$68,0))="LL-SPECIAL","",INDEX('Imposed Load'!$C$16:$C$68,MATCH(B83,'Imposed Load'!$A$16:$A$68,0))),""))</f>
        <v/>
      </c>
      <c r="F83" s="31"/>
      <c r="G83" s="31"/>
      <c r="H83" s="216" t="str">
        <f t="shared" si="21"/>
        <v/>
      </c>
      <c r="I83" s="226" t="str">
        <f t="shared" si="22"/>
        <v/>
      </c>
      <c r="J83" s="216" t="str">
        <f t="shared" si="23"/>
        <v/>
      </c>
      <c r="K83" s="218" t="str">
        <f t="shared" si="24"/>
        <v/>
      </c>
      <c r="M83" s="15"/>
      <c r="N83" s="15"/>
      <c r="O83" s="223" t="s">
        <v>296</v>
      </c>
      <c r="P83" s="220" t="str">
        <f t="shared" si="18"/>
        <v/>
      </c>
      <c r="Q83" s="221" t="str">
        <f>IF(S83&lt;&gt;"",IF(AND(ISNUMBER(S83),S83&gt;=0),"OK","INVALID MANUAL LOAD"),IF(COUNTIF(TCFloors[TC ID],O83)=0,"UNUSED",IF(COUNTIFS(TCFloors[TC ID],O83,TCFloors[Check],"&lt;&gt;OK")&gt;0,"INPUT REQUIRED","OK")))</f>
        <v>UNUSED</v>
      </c>
      <c r="R83" s="222" t="str">
        <f>IF(AND(COUNTIF(TCFloors[TC ID],O83)&gt;0,COUNTIFS(TCFloors[TC ID],O83,TCFloors[Check],"&lt;&gt;OK")=0),SUMIF(TCFloors[TC ID],O83,TCFloors[Floor Load]),"")</f>
        <v/>
      </c>
      <c r="S83" s="228"/>
      <c r="T83" s="202" t="str">
        <f t="shared" si="19"/>
        <v/>
      </c>
    </row>
    <row r="84" spans="1:20" ht="28.05" customHeight="1">
      <c r="A84" s="40"/>
      <c r="B84" s="41"/>
      <c r="C84" s="224" t="str">
        <f t="shared" si="20"/>
        <v/>
      </c>
      <c r="D84" s="31"/>
      <c r="E84" s="224" t="str">
        <f>IF(B84="","",IFERROR(IF(INDEX('Imposed Load'!$B$16:$B$68,MATCH(B84,'Imposed Load'!$A$16:$A$68,0))="LL-SPECIAL","",INDEX('Imposed Load'!$C$16:$C$68,MATCH(B84,'Imposed Load'!$A$16:$A$68,0))),""))</f>
        <v/>
      </c>
      <c r="F84" s="31"/>
      <c r="G84" s="31"/>
      <c r="H84" s="216" t="str">
        <f t="shared" si="21"/>
        <v/>
      </c>
      <c r="I84" s="226" t="str">
        <f t="shared" si="22"/>
        <v/>
      </c>
      <c r="J84" s="216" t="str">
        <f t="shared" si="23"/>
        <v/>
      </c>
      <c r="K84" s="218" t="str">
        <f t="shared" si="24"/>
        <v/>
      </c>
      <c r="M84" s="15"/>
      <c r="N84" s="15"/>
      <c r="O84" s="223" t="s">
        <v>297</v>
      </c>
      <c r="P84" s="220" t="str">
        <f t="shared" si="18"/>
        <v/>
      </c>
      <c r="Q84" s="221" t="str">
        <f>IF(S84&lt;&gt;"",IF(AND(ISNUMBER(S84),S84&gt;=0),"OK","INVALID MANUAL LOAD"),IF(COUNTIF(TCFloors[TC ID],O84)=0,"UNUSED",IF(COUNTIFS(TCFloors[TC ID],O84,TCFloors[Check],"&lt;&gt;OK")&gt;0,"INPUT REQUIRED","OK")))</f>
        <v>UNUSED</v>
      </c>
      <c r="R84" s="222" t="str">
        <f>IF(AND(COUNTIF(TCFloors[TC ID],O84)&gt;0,COUNTIFS(TCFloors[TC ID],O84,TCFloors[Check],"&lt;&gt;OK")=0),SUMIF(TCFloors[TC ID],O84,TCFloors[Floor Load]),"")</f>
        <v/>
      </c>
      <c r="S84" s="228"/>
      <c r="T84" s="202" t="str">
        <f t="shared" si="19"/>
        <v/>
      </c>
    </row>
    <row r="85" spans="1:20" ht="28.05" customHeight="1">
      <c r="A85" s="40"/>
      <c r="B85" s="41"/>
      <c r="C85" s="224" t="str">
        <f t="shared" si="20"/>
        <v/>
      </c>
      <c r="D85" s="31"/>
      <c r="E85" s="224" t="str">
        <f>IF(B85="","",IFERROR(IF(INDEX('Imposed Load'!$B$16:$B$68,MATCH(B85,'Imposed Load'!$A$16:$A$68,0))="LL-SPECIAL","",INDEX('Imposed Load'!$C$16:$C$68,MATCH(B85,'Imposed Load'!$A$16:$A$68,0))),""))</f>
        <v/>
      </c>
      <c r="F85" s="31"/>
      <c r="G85" s="31"/>
      <c r="H85" s="216" t="str">
        <f t="shared" si="21"/>
        <v/>
      </c>
      <c r="I85" s="226" t="str">
        <f t="shared" si="22"/>
        <v/>
      </c>
      <c r="J85" s="216" t="str">
        <f t="shared" si="23"/>
        <v/>
      </c>
      <c r="K85" s="218" t="str">
        <f t="shared" si="24"/>
        <v/>
      </c>
      <c r="M85" s="15"/>
      <c r="N85" s="15"/>
      <c r="O85" s="223" t="s">
        <v>298</v>
      </c>
      <c r="P85" s="220" t="str">
        <f t="shared" si="18"/>
        <v/>
      </c>
      <c r="Q85" s="221" t="str">
        <f>IF(S85&lt;&gt;"",IF(AND(ISNUMBER(S85),S85&gt;=0),"OK","INVALID MANUAL LOAD"),IF(COUNTIF(TCFloors[TC ID],O85)=0,"UNUSED",IF(COUNTIFS(TCFloors[TC ID],O85,TCFloors[Check],"&lt;&gt;OK")&gt;0,"INPUT REQUIRED","OK")))</f>
        <v>UNUSED</v>
      </c>
      <c r="R85" s="222" t="str">
        <f>IF(AND(COUNTIF(TCFloors[TC ID],O85)&gt;0,COUNTIFS(TCFloors[TC ID],O85,TCFloors[Check],"&lt;&gt;OK")=0),SUMIF(TCFloors[TC ID],O85,TCFloors[Floor Load]),"")</f>
        <v/>
      </c>
      <c r="S85" s="228"/>
      <c r="T85" s="202" t="str">
        <f t="shared" si="19"/>
        <v/>
      </c>
    </row>
    <row r="86" spans="1:20" ht="28.05" customHeight="1">
      <c r="A86" s="40"/>
      <c r="B86" s="41"/>
      <c r="C86" s="224" t="str">
        <f t="shared" si="20"/>
        <v/>
      </c>
      <c r="D86" s="31"/>
      <c r="E86" s="224" t="str">
        <f>IF(B86="","",IFERROR(IF(INDEX('Imposed Load'!$B$16:$B$68,MATCH(B86,'Imposed Load'!$A$16:$A$68,0))="LL-SPECIAL","",INDEX('Imposed Load'!$C$16:$C$68,MATCH(B86,'Imposed Load'!$A$16:$A$68,0))),""))</f>
        <v/>
      </c>
      <c r="F86" s="31"/>
      <c r="G86" s="31"/>
      <c r="H86" s="216" t="str">
        <f t="shared" si="21"/>
        <v/>
      </c>
      <c r="I86" s="226" t="str">
        <f t="shared" si="22"/>
        <v/>
      </c>
      <c r="J86" s="216" t="str">
        <f t="shared" si="23"/>
        <v/>
      </c>
      <c r="K86" s="218" t="str">
        <f t="shared" si="24"/>
        <v/>
      </c>
      <c r="M86" s="15"/>
      <c r="N86" s="15"/>
      <c r="O86" s="223" t="s">
        <v>299</v>
      </c>
      <c r="P86" s="220" t="str">
        <f t="shared" si="18"/>
        <v/>
      </c>
      <c r="Q86" s="221" t="str">
        <f>IF(S86&lt;&gt;"",IF(AND(ISNUMBER(S86),S86&gt;=0),"OK","INVALID MANUAL LOAD"),IF(COUNTIF(TCFloors[TC ID],O86)=0,"UNUSED",IF(COUNTIFS(TCFloors[TC ID],O86,TCFloors[Check],"&lt;&gt;OK")&gt;0,"INPUT REQUIRED","OK")))</f>
        <v>UNUSED</v>
      </c>
      <c r="R86" s="222" t="str">
        <f>IF(AND(COUNTIF(TCFloors[TC ID],O86)&gt;0,COUNTIFS(TCFloors[TC ID],O86,TCFloors[Check],"&lt;&gt;OK")=0),SUMIF(TCFloors[TC ID],O86,TCFloors[Floor Load]),"")</f>
        <v/>
      </c>
      <c r="S86" s="228"/>
      <c r="T86" s="202" t="str">
        <f t="shared" si="19"/>
        <v/>
      </c>
    </row>
    <row r="87" spans="1:20" ht="28.05" customHeight="1">
      <c r="A87" s="40"/>
      <c r="B87" s="41"/>
      <c r="C87" s="224" t="str">
        <f t="shared" si="20"/>
        <v/>
      </c>
      <c r="D87" s="31"/>
      <c r="E87" s="224" t="str">
        <f>IF(B87="","",IFERROR(IF(INDEX('Imposed Load'!$B$16:$B$68,MATCH(B87,'Imposed Load'!$A$16:$A$68,0))="LL-SPECIAL","",INDEX('Imposed Load'!$C$16:$C$68,MATCH(B87,'Imposed Load'!$A$16:$A$68,0))),""))</f>
        <v/>
      </c>
      <c r="F87" s="31"/>
      <c r="G87" s="31"/>
      <c r="H87" s="216" t="str">
        <f t="shared" si="21"/>
        <v/>
      </c>
      <c r="I87" s="226" t="str">
        <f t="shared" si="22"/>
        <v/>
      </c>
      <c r="J87" s="216" t="str">
        <f t="shared" si="23"/>
        <v/>
      </c>
      <c r="K87" s="218" t="str">
        <f t="shared" si="24"/>
        <v/>
      </c>
      <c r="M87" s="15"/>
      <c r="N87" s="15"/>
      <c r="O87" s="223" t="s">
        <v>300</v>
      </c>
      <c r="P87" s="220" t="str">
        <f t="shared" si="18"/>
        <v/>
      </c>
      <c r="Q87" s="221" t="str">
        <f>IF(S87&lt;&gt;"",IF(AND(ISNUMBER(S87),S87&gt;=0),"OK","INVALID MANUAL LOAD"),IF(COUNTIF(TCFloors[TC ID],O87)=0,"UNUSED",IF(COUNTIFS(TCFloors[TC ID],O87,TCFloors[Check],"&lt;&gt;OK")&gt;0,"INPUT REQUIRED","OK")))</f>
        <v>UNUSED</v>
      </c>
      <c r="R87" s="222" t="str">
        <f>IF(AND(COUNTIF(TCFloors[TC ID],O87)&gt;0,COUNTIFS(TCFloors[TC ID],O87,TCFloors[Check],"&lt;&gt;OK")=0),SUMIF(TCFloors[TC ID],O87,TCFloors[Floor Load]),"")</f>
        <v/>
      </c>
      <c r="S87" s="228"/>
      <c r="T87" s="202" t="str">
        <f t="shared" si="19"/>
        <v/>
      </c>
    </row>
    <row r="88" spans="1:20" ht="28.05" customHeight="1">
      <c r="A88" s="40"/>
      <c r="B88" s="41"/>
      <c r="C88" s="224" t="str">
        <f t="shared" si="20"/>
        <v/>
      </c>
      <c r="D88" s="31"/>
      <c r="E88" s="224" t="str">
        <f>IF(B88="","",IFERROR(IF(INDEX('Imposed Load'!$B$16:$B$68,MATCH(B88,'Imposed Load'!$A$16:$A$68,0))="LL-SPECIAL","",INDEX('Imposed Load'!$C$16:$C$68,MATCH(B88,'Imposed Load'!$A$16:$A$68,0))),""))</f>
        <v/>
      </c>
      <c r="F88" s="31"/>
      <c r="G88" s="31"/>
      <c r="H88" s="216" t="str">
        <f t="shared" si="21"/>
        <v/>
      </c>
      <c r="I88" s="226" t="str">
        <f t="shared" si="22"/>
        <v/>
      </c>
      <c r="J88" s="216" t="str">
        <f t="shared" si="23"/>
        <v/>
      </c>
      <c r="K88" s="218" t="str">
        <f t="shared" si="24"/>
        <v/>
      </c>
      <c r="M88" s="15"/>
      <c r="N88" s="15"/>
      <c r="O88" s="223" t="s">
        <v>301</v>
      </c>
      <c r="P88" s="220" t="str">
        <f t="shared" si="18"/>
        <v/>
      </c>
      <c r="Q88" s="221" t="str">
        <f>IF(S88&lt;&gt;"",IF(AND(ISNUMBER(S88),S88&gt;=0),"OK","INVALID MANUAL LOAD"),IF(COUNTIF(TCFloors[TC ID],O88)=0,"UNUSED",IF(COUNTIFS(TCFloors[TC ID],O88,TCFloors[Check],"&lt;&gt;OK")&gt;0,"INPUT REQUIRED","OK")))</f>
        <v>UNUSED</v>
      </c>
      <c r="R88" s="222" t="str">
        <f>IF(AND(COUNTIF(TCFloors[TC ID],O88)&gt;0,COUNTIFS(TCFloors[TC ID],O88,TCFloors[Check],"&lt;&gt;OK")=0),SUMIF(TCFloors[TC ID],O88,TCFloors[Floor Load]),"")</f>
        <v/>
      </c>
      <c r="S88" s="228"/>
      <c r="T88" s="202" t="str">
        <f t="shared" si="19"/>
        <v/>
      </c>
    </row>
    <row r="89" spans="1:20" ht="28.05" customHeight="1">
      <c r="A89" s="40"/>
      <c r="B89" s="41"/>
      <c r="C89" s="224" t="str">
        <f t="shared" si="20"/>
        <v/>
      </c>
      <c r="D89" s="31"/>
      <c r="E89" s="224" t="str">
        <f>IF(B89="","",IFERROR(IF(INDEX('Imposed Load'!$B$16:$B$68,MATCH(B89,'Imposed Load'!$A$16:$A$68,0))="LL-SPECIAL","",INDEX('Imposed Load'!$C$16:$C$68,MATCH(B89,'Imposed Load'!$A$16:$A$68,0))),""))</f>
        <v/>
      </c>
      <c r="F89" s="31"/>
      <c r="G89" s="31"/>
      <c r="H89" s="216" t="str">
        <f t="shared" si="21"/>
        <v/>
      </c>
      <c r="I89" s="226" t="str">
        <f t="shared" si="22"/>
        <v/>
      </c>
      <c r="J89" s="216" t="str">
        <f t="shared" si="23"/>
        <v/>
      </c>
      <c r="K89" s="218" t="str">
        <f t="shared" si="24"/>
        <v/>
      </c>
      <c r="M89" s="15"/>
      <c r="N89" s="15"/>
      <c r="O89" s="223" t="s">
        <v>302</v>
      </c>
      <c r="P89" s="220" t="str">
        <f t="shared" si="18"/>
        <v/>
      </c>
      <c r="Q89" s="221" t="str">
        <f>IF(S89&lt;&gt;"",IF(AND(ISNUMBER(S89),S89&gt;=0),"OK","INVALID MANUAL LOAD"),IF(COUNTIF(TCFloors[TC ID],O89)=0,"UNUSED",IF(COUNTIFS(TCFloors[TC ID],O89,TCFloors[Check],"&lt;&gt;OK")&gt;0,"INPUT REQUIRED","OK")))</f>
        <v>UNUSED</v>
      </c>
      <c r="R89" s="222" t="str">
        <f>IF(AND(COUNTIF(TCFloors[TC ID],O89)&gt;0,COUNTIFS(TCFloors[TC ID],O89,TCFloors[Check],"&lt;&gt;OK")=0),SUMIF(TCFloors[TC ID],O89,TCFloors[Floor Load]),"")</f>
        <v/>
      </c>
      <c r="S89" s="228"/>
      <c r="T89" s="202" t="str">
        <f t="shared" si="19"/>
        <v/>
      </c>
    </row>
    <row r="90" spans="1:20" ht="28.05" customHeight="1">
      <c r="A90" s="40"/>
      <c r="B90" s="41"/>
      <c r="C90" s="224" t="str">
        <f t="shared" si="20"/>
        <v/>
      </c>
      <c r="D90" s="31"/>
      <c r="E90" s="224" t="str">
        <f>IF(B90="","",IFERROR(IF(INDEX('Imposed Load'!$B$16:$B$68,MATCH(B90,'Imposed Load'!$A$16:$A$68,0))="LL-SPECIAL","",INDEX('Imposed Load'!$C$16:$C$68,MATCH(B90,'Imposed Load'!$A$16:$A$68,0))),""))</f>
        <v/>
      </c>
      <c r="F90" s="31"/>
      <c r="G90" s="31"/>
      <c r="H90" s="216" t="str">
        <f t="shared" si="21"/>
        <v/>
      </c>
      <c r="I90" s="226" t="str">
        <f t="shared" si="22"/>
        <v/>
      </c>
      <c r="J90" s="216" t="str">
        <f t="shared" si="23"/>
        <v/>
      </c>
      <c r="K90" s="218" t="str">
        <f t="shared" si="24"/>
        <v/>
      </c>
      <c r="M90" s="15"/>
      <c r="N90" s="15"/>
      <c r="O90" s="223" t="s">
        <v>303</v>
      </c>
      <c r="P90" s="220" t="str">
        <f t="shared" si="18"/>
        <v/>
      </c>
      <c r="Q90" s="221" t="str">
        <f>IF(S90&lt;&gt;"",IF(AND(ISNUMBER(S90),S90&gt;=0),"OK","INVALID MANUAL LOAD"),IF(COUNTIF(TCFloors[TC ID],O90)=0,"UNUSED",IF(COUNTIFS(TCFloors[TC ID],O90,TCFloors[Check],"&lt;&gt;OK")&gt;0,"INPUT REQUIRED","OK")))</f>
        <v>UNUSED</v>
      </c>
      <c r="R90" s="222" t="str">
        <f>IF(AND(COUNTIF(TCFloors[TC ID],O90)&gt;0,COUNTIFS(TCFloors[TC ID],O90,TCFloors[Check],"&lt;&gt;OK")=0),SUMIF(TCFloors[TC ID],O90,TCFloors[Floor Load]),"")</f>
        <v/>
      </c>
      <c r="S90" s="228"/>
      <c r="T90" s="202" t="str">
        <f t="shared" si="19"/>
        <v/>
      </c>
    </row>
    <row r="91" spans="1:20" ht="28.05" customHeight="1">
      <c r="A91" s="40"/>
      <c r="B91" s="41"/>
      <c r="C91" s="224" t="str">
        <f t="shared" si="20"/>
        <v/>
      </c>
      <c r="D91" s="31"/>
      <c r="E91" s="224" t="str">
        <f>IF(B91="","",IFERROR(IF(INDEX('Imposed Load'!$B$16:$B$68,MATCH(B91,'Imposed Load'!$A$16:$A$68,0))="LL-SPECIAL","",INDEX('Imposed Load'!$C$16:$C$68,MATCH(B91,'Imposed Load'!$A$16:$A$68,0))),""))</f>
        <v/>
      </c>
      <c r="F91" s="31"/>
      <c r="G91" s="31"/>
      <c r="H91" s="216" t="str">
        <f t="shared" si="21"/>
        <v/>
      </c>
      <c r="I91" s="226" t="str">
        <f t="shared" si="22"/>
        <v/>
      </c>
      <c r="J91" s="216" t="str">
        <f t="shared" si="23"/>
        <v/>
      </c>
      <c r="K91" s="218" t="str">
        <f t="shared" si="24"/>
        <v/>
      </c>
      <c r="M91" s="15"/>
      <c r="N91" s="15"/>
      <c r="O91" s="223" t="s">
        <v>304</v>
      </c>
      <c r="P91" s="220" t="str">
        <f t="shared" si="18"/>
        <v/>
      </c>
      <c r="Q91" s="221" t="str">
        <f>IF(S91&lt;&gt;"",IF(AND(ISNUMBER(S91),S91&gt;=0),"OK","INVALID MANUAL LOAD"),IF(COUNTIF(TCFloors[TC ID],O91)=0,"UNUSED",IF(COUNTIFS(TCFloors[TC ID],O91,TCFloors[Check],"&lt;&gt;OK")&gt;0,"INPUT REQUIRED","OK")))</f>
        <v>UNUSED</v>
      </c>
      <c r="R91" s="222" t="str">
        <f>IF(AND(COUNTIF(TCFloors[TC ID],O91)&gt;0,COUNTIFS(TCFloors[TC ID],O91,TCFloors[Check],"&lt;&gt;OK")=0),SUMIF(TCFloors[TC ID],O91,TCFloors[Floor Load]),"")</f>
        <v/>
      </c>
      <c r="S91" s="228"/>
      <c r="T91" s="202" t="str">
        <f t="shared" si="19"/>
        <v/>
      </c>
    </row>
    <row r="92" spans="1:20" ht="28.05" customHeight="1">
      <c r="A92" s="40"/>
      <c r="B92" s="41"/>
      <c r="C92" s="224" t="str">
        <f t="shared" si="20"/>
        <v/>
      </c>
      <c r="D92" s="31"/>
      <c r="E92" s="224" t="str">
        <f>IF(B92="","",IFERROR(IF(INDEX('Imposed Load'!$B$16:$B$68,MATCH(B92,'Imposed Load'!$A$16:$A$68,0))="LL-SPECIAL","",INDEX('Imposed Load'!$C$16:$C$68,MATCH(B92,'Imposed Load'!$A$16:$A$68,0))),""))</f>
        <v/>
      </c>
      <c r="F92" s="31"/>
      <c r="G92" s="31"/>
      <c r="H92" s="216" t="str">
        <f t="shared" si="21"/>
        <v/>
      </c>
      <c r="I92" s="226" t="str">
        <f t="shared" si="22"/>
        <v/>
      </c>
      <c r="J92" s="216" t="str">
        <f t="shared" si="23"/>
        <v/>
      </c>
      <c r="K92" s="218" t="str">
        <f t="shared" si="24"/>
        <v/>
      </c>
      <c r="M92" s="15"/>
      <c r="N92" s="15"/>
      <c r="O92" s="223" t="s">
        <v>305</v>
      </c>
      <c r="P92" s="220" t="str">
        <f t="shared" si="18"/>
        <v/>
      </c>
      <c r="Q92" s="221" t="str">
        <f>IF(S92&lt;&gt;"",IF(AND(ISNUMBER(S92),S92&gt;=0),"OK","INVALID MANUAL LOAD"),IF(COUNTIF(TCFloors[TC ID],O92)=0,"UNUSED",IF(COUNTIFS(TCFloors[TC ID],O92,TCFloors[Check],"&lt;&gt;OK")&gt;0,"INPUT REQUIRED","OK")))</f>
        <v>UNUSED</v>
      </c>
      <c r="R92" s="222" t="str">
        <f>IF(AND(COUNTIF(TCFloors[TC ID],O92)&gt;0,COUNTIFS(TCFloors[TC ID],O92,TCFloors[Check],"&lt;&gt;OK")=0),SUMIF(TCFloors[TC ID],O92,TCFloors[Floor Load]),"")</f>
        <v/>
      </c>
      <c r="S92" s="228"/>
      <c r="T92" s="202" t="str">
        <f t="shared" si="19"/>
        <v/>
      </c>
    </row>
    <row r="93" spans="1:20" ht="28.05" customHeight="1">
      <c r="A93" s="40"/>
      <c r="B93" s="41"/>
      <c r="C93" s="224" t="str">
        <f t="shared" si="20"/>
        <v/>
      </c>
      <c r="D93" s="31"/>
      <c r="E93" s="224" t="str">
        <f>IF(B93="","",IFERROR(IF(INDEX('Imposed Load'!$B$16:$B$68,MATCH(B93,'Imposed Load'!$A$16:$A$68,0))="LL-SPECIAL","",INDEX('Imposed Load'!$C$16:$C$68,MATCH(B93,'Imposed Load'!$A$16:$A$68,0))),""))</f>
        <v/>
      </c>
      <c r="F93" s="31"/>
      <c r="G93" s="31"/>
      <c r="H93" s="216" t="str">
        <f t="shared" si="21"/>
        <v/>
      </c>
      <c r="I93" s="226" t="str">
        <f t="shared" si="22"/>
        <v/>
      </c>
      <c r="J93" s="216" t="str">
        <f t="shared" si="23"/>
        <v/>
      </c>
      <c r="K93" s="218" t="str">
        <f t="shared" si="24"/>
        <v/>
      </c>
      <c r="M93" s="15"/>
      <c r="N93" s="15"/>
      <c r="O93" s="223" t="s">
        <v>306</v>
      </c>
      <c r="P93" s="220" t="str">
        <f t="shared" si="18"/>
        <v/>
      </c>
      <c r="Q93" s="221" t="str">
        <f>IF(S93&lt;&gt;"",IF(AND(ISNUMBER(S93),S93&gt;=0),"OK","INVALID MANUAL LOAD"),IF(COUNTIF(TCFloors[TC ID],O93)=0,"UNUSED",IF(COUNTIFS(TCFloors[TC ID],O93,TCFloors[Check],"&lt;&gt;OK")&gt;0,"INPUT REQUIRED","OK")))</f>
        <v>UNUSED</v>
      </c>
      <c r="R93" s="222" t="str">
        <f>IF(AND(COUNTIF(TCFloors[TC ID],O93)&gt;0,COUNTIFS(TCFloors[TC ID],O93,TCFloors[Check],"&lt;&gt;OK")=0),SUMIF(TCFloors[TC ID],O93,TCFloors[Floor Load]),"")</f>
        <v/>
      </c>
      <c r="S93" s="228"/>
      <c r="T93" s="202" t="str">
        <f t="shared" si="19"/>
        <v/>
      </c>
    </row>
    <row r="94" spans="1:20" ht="28.05" customHeight="1">
      <c r="A94" s="40"/>
      <c r="B94" s="41"/>
      <c r="C94" s="224" t="str">
        <f t="shared" si="20"/>
        <v/>
      </c>
      <c r="D94" s="31"/>
      <c r="E94" s="224" t="str">
        <f>IF(B94="","",IFERROR(IF(INDEX('Imposed Load'!$B$16:$B$68,MATCH(B94,'Imposed Load'!$A$16:$A$68,0))="LL-SPECIAL","",INDEX('Imposed Load'!$C$16:$C$68,MATCH(B94,'Imposed Load'!$A$16:$A$68,0))),""))</f>
        <v/>
      </c>
      <c r="F94" s="31"/>
      <c r="G94" s="31"/>
      <c r="H94" s="216" t="str">
        <f t="shared" si="21"/>
        <v/>
      </c>
      <c r="I94" s="226" t="str">
        <f t="shared" si="22"/>
        <v/>
      </c>
      <c r="J94" s="216" t="str">
        <f t="shared" si="23"/>
        <v/>
      </c>
      <c r="K94" s="218" t="str">
        <f t="shared" si="24"/>
        <v/>
      </c>
      <c r="M94" s="15"/>
      <c r="N94" s="15"/>
      <c r="O94" s="223" t="s">
        <v>307</v>
      </c>
      <c r="P94" s="220" t="str">
        <f t="shared" si="18"/>
        <v/>
      </c>
      <c r="Q94" s="221" t="str">
        <f>IF(S94&lt;&gt;"",IF(AND(ISNUMBER(S94),S94&gt;=0),"OK","INVALID MANUAL LOAD"),IF(COUNTIF(TCFloors[TC ID],O94)=0,"UNUSED",IF(COUNTIFS(TCFloors[TC ID],O94,TCFloors[Check],"&lt;&gt;OK")&gt;0,"INPUT REQUIRED","OK")))</f>
        <v>UNUSED</v>
      </c>
      <c r="R94" s="222" t="str">
        <f>IF(AND(COUNTIF(TCFloors[TC ID],O94)&gt;0,COUNTIFS(TCFloors[TC ID],O94,TCFloors[Check],"&lt;&gt;OK")=0),SUMIF(TCFloors[TC ID],O94,TCFloors[Floor Load]),"")</f>
        <v/>
      </c>
      <c r="S94" s="228"/>
      <c r="T94" s="202" t="str">
        <f t="shared" si="19"/>
        <v/>
      </c>
    </row>
    <row r="95" spans="1:20" ht="28.05" customHeight="1">
      <c r="A95" s="40"/>
      <c r="B95" s="41"/>
      <c r="C95" s="224" t="str">
        <f t="shared" si="20"/>
        <v/>
      </c>
      <c r="D95" s="31"/>
      <c r="E95" s="224" t="str">
        <f>IF(B95="","",IFERROR(IF(INDEX('Imposed Load'!$B$16:$B$68,MATCH(B95,'Imposed Load'!$A$16:$A$68,0))="LL-SPECIAL","",INDEX('Imposed Load'!$C$16:$C$68,MATCH(B95,'Imposed Load'!$A$16:$A$68,0))),""))</f>
        <v/>
      </c>
      <c r="F95" s="31"/>
      <c r="G95" s="31"/>
      <c r="H95" s="216" t="str">
        <f t="shared" si="21"/>
        <v/>
      </c>
      <c r="I95" s="226" t="str">
        <f t="shared" si="22"/>
        <v/>
      </c>
      <c r="J95" s="216" t="str">
        <f t="shared" si="23"/>
        <v/>
      </c>
      <c r="K95" s="218" t="str">
        <f t="shared" si="24"/>
        <v/>
      </c>
      <c r="M95" s="15"/>
      <c r="N95" s="15"/>
      <c r="O95" s="223" t="s">
        <v>308</v>
      </c>
      <c r="P95" s="220" t="str">
        <f t="shared" si="18"/>
        <v/>
      </c>
      <c r="Q95" s="221" t="str">
        <f>IF(S95&lt;&gt;"",IF(AND(ISNUMBER(S95),S95&gt;=0),"OK","INVALID MANUAL LOAD"),IF(COUNTIF(TCFloors[TC ID],O95)=0,"UNUSED",IF(COUNTIFS(TCFloors[TC ID],O95,TCFloors[Check],"&lt;&gt;OK")&gt;0,"INPUT REQUIRED","OK")))</f>
        <v>UNUSED</v>
      </c>
      <c r="R95" s="222" t="str">
        <f>IF(AND(COUNTIF(TCFloors[TC ID],O95)&gt;0,COUNTIFS(TCFloors[TC ID],O95,TCFloors[Check],"&lt;&gt;OK")=0),SUMIF(TCFloors[TC ID],O95,TCFloors[Floor Load]),"")</f>
        <v/>
      </c>
      <c r="S95" s="228"/>
      <c r="T95" s="202" t="str">
        <f t="shared" si="19"/>
        <v/>
      </c>
    </row>
    <row r="96" spans="1:20" ht="28.05" customHeight="1">
      <c r="A96" s="40"/>
      <c r="B96" s="41"/>
      <c r="C96" s="224" t="str">
        <f t="shared" si="20"/>
        <v/>
      </c>
      <c r="D96" s="31"/>
      <c r="E96" s="224" t="str">
        <f>IF(B96="","",IFERROR(IF(INDEX('Imposed Load'!$B$16:$B$68,MATCH(B96,'Imposed Load'!$A$16:$A$68,0))="LL-SPECIAL","",INDEX('Imposed Load'!$C$16:$C$68,MATCH(B96,'Imposed Load'!$A$16:$A$68,0))),""))</f>
        <v/>
      </c>
      <c r="F96" s="31"/>
      <c r="G96" s="31"/>
      <c r="H96" s="216" t="str">
        <f t="shared" si="21"/>
        <v/>
      </c>
      <c r="I96" s="226" t="str">
        <f t="shared" si="22"/>
        <v/>
      </c>
      <c r="J96" s="216" t="str">
        <f t="shared" si="23"/>
        <v/>
      </c>
      <c r="K96" s="218" t="str">
        <f t="shared" si="24"/>
        <v/>
      </c>
      <c r="M96" s="15"/>
      <c r="N96" s="15"/>
      <c r="O96" s="223" t="s">
        <v>309</v>
      </c>
      <c r="P96" s="220" t="str">
        <f t="shared" si="18"/>
        <v/>
      </c>
      <c r="Q96" s="221" t="str">
        <f>IF(S96&lt;&gt;"",IF(AND(ISNUMBER(S96),S96&gt;=0),"OK","INVALID MANUAL LOAD"),IF(COUNTIF(TCFloors[TC ID],O96)=0,"UNUSED",IF(COUNTIFS(TCFloors[TC ID],O96,TCFloors[Check],"&lt;&gt;OK")&gt;0,"INPUT REQUIRED","OK")))</f>
        <v>UNUSED</v>
      </c>
      <c r="R96" s="222" t="str">
        <f>IF(AND(COUNTIF(TCFloors[TC ID],O96)&gt;0,COUNTIFS(TCFloors[TC ID],O96,TCFloors[Check],"&lt;&gt;OK")=0),SUMIF(TCFloors[TC ID],O96,TCFloors[Floor Load]),"")</f>
        <v/>
      </c>
      <c r="S96" s="228"/>
      <c r="T96" s="202" t="str">
        <f t="shared" si="19"/>
        <v/>
      </c>
    </row>
    <row r="97" spans="1:20" ht="28.05" customHeight="1">
      <c r="A97" s="40"/>
      <c r="B97" s="41"/>
      <c r="C97" s="224" t="str">
        <f t="shared" si="20"/>
        <v/>
      </c>
      <c r="D97" s="31"/>
      <c r="E97" s="224" t="str">
        <f>IF(B97="","",IFERROR(IF(INDEX('Imposed Load'!$B$16:$B$68,MATCH(B97,'Imposed Load'!$A$16:$A$68,0))="LL-SPECIAL","",INDEX('Imposed Load'!$C$16:$C$68,MATCH(B97,'Imposed Load'!$A$16:$A$68,0))),""))</f>
        <v/>
      </c>
      <c r="F97" s="31"/>
      <c r="G97" s="31"/>
      <c r="H97" s="216" t="str">
        <f t="shared" si="21"/>
        <v/>
      </c>
      <c r="I97" s="226" t="str">
        <f t="shared" si="22"/>
        <v/>
      </c>
      <c r="J97" s="216" t="str">
        <f t="shared" si="23"/>
        <v/>
      </c>
      <c r="K97" s="218" t="str">
        <f t="shared" si="24"/>
        <v/>
      </c>
      <c r="M97" s="15"/>
      <c r="N97" s="15"/>
      <c r="O97" s="223" t="s">
        <v>310</v>
      </c>
      <c r="P97" s="220" t="str">
        <f t="shared" si="18"/>
        <v/>
      </c>
      <c r="Q97" s="221" t="str">
        <f>IF(S97&lt;&gt;"",IF(AND(ISNUMBER(S97),S97&gt;=0),"OK","INVALID MANUAL LOAD"),IF(COUNTIF(TCFloors[TC ID],O97)=0,"UNUSED",IF(COUNTIFS(TCFloors[TC ID],O97,TCFloors[Check],"&lt;&gt;OK")&gt;0,"INPUT REQUIRED","OK")))</f>
        <v>UNUSED</v>
      </c>
      <c r="R97" s="222" t="str">
        <f>IF(AND(COUNTIF(TCFloors[TC ID],O97)&gt;0,COUNTIFS(TCFloors[TC ID],O97,TCFloors[Check],"&lt;&gt;OK")=0),SUMIF(TCFloors[TC ID],O97,TCFloors[Floor Load]),"")</f>
        <v/>
      </c>
      <c r="S97" s="228"/>
      <c r="T97" s="202" t="str">
        <f t="shared" si="19"/>
        <v/>
      </c>
    </row>
    <row r="98" spans="1:20" ht="28.05" customHeight="1">
      <c r="A98" s="40"/>
      <c r="B98" s="41"/>
      <c r="C98" s="224" t="str">
        <f t="shared" si="20"/>
        <v/>
      </c>
      <c r="D98" s="31"/>
      <c r="E98" s="224" t="str">
        <f>IF(B98="","",IFERROR(IF(INDEX('Imposed Load'!$B$16:$B$68,MATCH(B98,'Imposed Load'!$A$16:$A$68,0))="LL-SPECIAL","",INDEX('Imposed Load'!$C$16:$C$68,MATCH(B98,'Imposed Load'!$A$16:$A$68,0))),""))</f>
        <v/>
      </c>
      <c r="F98" s="31"/>
      <c r="G98" s="31"/>
      <c r="H98" s="216" t="str">
        <f t="shared" si="21"/>
        <v/>
      </c>
      <c r="I98" s="226" t="str">
        <f t="shared" si="22"/>
        <v/>
      </c>
      <c r="J98" s="216" t="str">
        <f t="shared" si="23"/>
        <v/>
      </c>
      <c r="K98" s="218" t="str">
        <f t="shared" si="24"/>
        <v/>
      </c>
      <c r="M98" s="15"/>
      <c r="N98" s="15"/>
      <c r="O98" s="223" t="s">
        <v>311</v>
      </c>
      <c r="P98" s="220" t="str">
        <f t="shared" si="18"/>
        <v/>
      </c>
      <c r="Q98" s="221" t="str">
        <f>IF(S98&lt;&gt;"",IF(AND(ISNUMBER(S98),S98&gt;=0),"OK","INVALID MANUAL LOAD"),IF(COUNTIF(TCFloors[TC ID],O98)=0,"UNUSED",IF(COUNTIFS(TCFloors[TC ID],O98,TCFloors[Check],"&lt;&gt;OK")&gt;0,"INPUT REQUIRED","OK")))</f>
        <v>UNUSED</v>
      </c>
      <c r="R98" s="222" t="str">
        <f>IF(AND(COUNTIF(TCFloors[TC ID],O98)&gt;0,COUNTIFS(TCFloors[TC ID],O98,TCFloors[Check],"&lt;&gt;OK")=0),SUMIF(TCFloors[TC ID],O98,TCFloors[Floor Load]),"")</f>
        <v/>
      </c>
      <c r="S98" s="228"/>
      <c r="T98" s="202" t="str">
        <f t="shared" si="19"/>
        <v/>
      </c>
    </row>
    <row r="99" spans="1:20" ht="28.05" customHeight="1">
      <c r="A99" s="40"/>
      <c r="B99" s="41"/>
      <c r="C99" s="224" t="str">
        <f t="shared" si="20"/>
        <v/>
      </c>
      <c r="D99" s="31"/>
      <c r="E99" s="224" t="str">
        <f>IF(B99="","",IFERROR(IF(INDEX('Imposed Load'!$B$16:$B$68,MATCH(B99,'Imposed Load'!$A$16:$A$68,0))="LL-SPECIAL","",INDEX('Imposed Load'!$C$16:$C$68,MATCH(B99,'Imposed Load'!$A$16:$A$68,0))),""))</f>
        <v/>
      </c>
      <c r="F99" s="31"/>
      <c r="G99" s="31"/>
      <c r="H99" s="216" t="str">
        <f t="shared" si="21"/>
        <v/>
      </c>
      <c r="I99" s="226" t="str">
        <f t="shared" si="22"/>
        <v/>
      </c>
      <c r="J99" s="216" t="str">
        <f t="shared" si="23"/>
        <v/>
      </c>
      <c r="K99" s="218" t="str">
        <f t="shared" si="24"/>
        <v/>
      </c>
      <c r="M99" s="15"/>
      <c r="N99" s="15"/>
      <c r="O99" s="223" t="s">
        <v>312</v>
      </c>
      <c r="P99" s="220" t="str">
        <f t="shared" si="18"/>
        <v/>
      </c>
      <c r="Q99" s="221" t="str">
        <f>IF(S99&lt;&gt;"",IF(AND(ISNUMBER(S99),S99&gt;=0),"OK","INVALID MANUAL LOAD"),IF(COUNTIF(TCFloors[TC ID],O99)=0,"UNUSED",IF(COUNTIFS(TCFloors[TC ID],O99,TCFloors[Check],"&lt;&gt;OK")&gt;0,"INPUT REQUIRED","OK")))</f>
        <v>UNUSED</v>
      </c>
      <c r="R99" s="222" t="str">
        <f>IF(AND(COUNTIF(TCFloors[TC ID],O99)&gt;0,COUNTIFS(TCFloors[TC ID],O99,TCFloors[Check],"&lt;&gt;OK")=0),SUMIF(TCFloors[TC ID],O99,TCFloors[Floor Load]),"")</f>
        <v/>
      </c>
      <c r="S99" s="228"/>
      <c r="T99" s="202" t="str">
        <f t="shared" si="19"/>
        <v/>
      </c>
    </row>
    <row r="100" spans="1:20" ht="28.05" customHeight="1">
      <c r="A100" s="40"/>
      <c r="B100" s="41"/>
      <c r="C100" s="224" t="str">
        <f t="shared" si="20"/>
        <v/>
      </c>
      <c r="D100" s="31"/>
      <c r="E100" s="224" t="str">
        <f>IF(B100="","",IFERROR(IF(INDEX('Imposed Load'!$B$16:$B$68,MATCH(B100,'Imposed Load'!$A$16:$A$68,0))="LL-SPECIAL","",INDEX('Imposed Load'!$C$16:$C$68,MATCH(B100,'Imposed Load'!$A$16:$A$68,0))),""))</f>
        <v/>
      </c>
      <c r="F100" s="31"/>
      <c r="G100" s="31"/>
      <c r="H100" s="216" t="str">
        <f t="shared" si="21"/>
        <v/>
      </c>
      <c r="I100" s="226" t="str">
        <f t="shared" si="22"/>
        <v/>
      </c>
      <c r="J100" s="216" t="str">
        <f t="shared" si="23"/>
        <v/>
      </c>
      <c r="K100" s="218" t="str">
        <f t="shared" si="24"/>
        <v/>
      </c>
      <c r="M100" s="15"/>
      <c r="N100" s="15"/>
      <c r="O100" s="223" t="s">
        <v>313</v>
      </c>
      <c r="P100" s="220" t="str">
        <f t="shared" si="18"/>
        <v/>
      </c>
      <c r="Q100" s="221" t="str">
        <f>IF(S100&lt;&gt;"",IF(AND(ISNUMBER(S100),S100&gt;=0),"OK","INVALID MANUAL LOAD"),IF(COUNTIF(TCFloors[TC ID],O100)=0,"UNUSED",IF(COUNTIFS(TCFloors[TC ID],O100,TCFloors[Check],"&lt;&gt;OK")&gt;0,"INPUT REQUIRED","OK")))</f>
        <v>UNUSED</v>
      </c>
      <c r="R100" s="222" t="str">
        <f>IF(AND(COUNTIF(TCFloors[TC ID],O100)&gt;0,COUNTIFS(TCFloors[TC ID],O100,TCFloors[Check],"&lt;&gt;OK")=0),SUMIF(TCFloors[TC ID],O100,TCFloors[Floor Load]),"")</f>
        <v/>
      </c>
      <c r="S100" s="228"/>
      <c r="T100" s="202" t="str">
        <f t="shared" si="19"/>
        <v/>
      </c>
    </row>
    <row r="101" spans="1:20" ht="28.05" customHeight="1">
      <c r="A101" s="40"/>
      <c r="B101" s="41"/>
      <c r="C101" s="224" t="str">
        <f t="shared" si="20"/>
        <v/>
      </c>
      <c r="D101" s="31"/>
      <c r="E101" s="224" t="str">
        <f>IF(B101="","",IFERROR(IF(INDEX('Imposed Load'!$B$16:$B$68,MATCH(B101,'Imposed Load'!$A$16:$A$68,0))="LL-SPECIAL","",INDEX('Imposed Load'!$C$16:$C$68,MATCH(B101,'Imposed Load'!$A$16:$A$68,0))),""))</f>
        <v/>
      </c>
      <c r="F101" s="31"/>
      <c r="G101" s="31"/>
      <c r="H101" s="216" t="str">
        <f t="shared" si="21"/>
        <v/>
      </c>
      <c r="I101" s="226" t="str">
        <f t="shared" si="22"/>
        <v/>
      </c>
      <c r="J101" s="216" t="str">
        <f t="shared" si="23"/>
        <v/>
      </c>
      <c r="K101" s="218" t="str">
        <f t="shared" si="24"/>
        <v/>
      </c>
      <c r="M101" s="15"/>
      <c r="N101" s="15"/>
      <c r="O101" s="223" t="s">
        <v>314</v>
      </c>
      <c r="P101" s="220" t="str">
        <f t="shared" ref="P101:P104" si="25">IF(Q101&lt;&gt;"OK","",IF(S101&lt;&gt;"",S101,R101))</f>
        <v/>
      </c>
      <c r="Q101" s="221" t="str">
        <f>IF(S101&lt;&gt;"",IF(AND(ISNUMBER(S101),S101&gt;=0),"OK","INVALID MANUAL LOAD"),IF(COUNTIF(TCFloors[TC ID],O101)=0,"UNUSED",IF(COUNTIFS(TCFloors[TC ID],O101,TCFloors[Check],"&lt;&gt;OK")&gt;0,"INPUT REQUIRED","OK")))</f>
        <v>UNUSED</v>
      </c>
      <c r="R101" s="222" t="str">
        <f>IF(AND(COUNTIF(TCFloors[TC ID],O101)&gt;0,COUNTIFS(TCFloors[TC ID],O101,TCFloors[Check],"&lt;&gt;OK")=0),SUMIF(TCFloors[TC ID],O101,TCFloors[Floor Load]),"")</f>
        <v/>
      </c>
      <c r="S101" s="228"/>
      <c r="T101" s="202" t="str">
        <f t="shared" ref="T101:T104" si="26">IF(S101&lt;&gt;"","MANUAL OVERRIDE",IF(Q101="UNUSED","","FLOOR DETAILS"))</f>
        <v/>
      </c>
    </row>
    <row r="102" spans="1:20" ht="28.05" customHeight="1">
      <c r="A102" s="40"/>
      <c r="B102" s="41"/>
      <c r="C102" s="224" t="str">
        <f t="shared" ref="C102:C133" si="27">IF(A102="","",10)</f>
        <v/>
      </c>
      <c r="D102" s="31"/>
      <c r="E102" s="224" t="str">
        <f>IF(B102="","",IFERROR(IF(INDEX('Imposed Load'!$B$16:$B$68,MATCH(B102,'Imposed Load'!$A$16:$A$68,0))="LL-SPECIAL","",INDEX('Imposed Load'!$C$16:$C$68,MATCH(B102,'Imposed Load'!$A$16:$A$68,0))),""))</f>
        <v/>
      </c>
      <c r="F102" s="31"/>
      <c r="G102" s="31"/>
      <c r="H102" s="216" t="str">
        <f t="shared" ref="H102:H133" si="28">IF(OR(F102="",G102=""),"",F102*G102)</f>
        <v/>
      </c>
      <c r="I102" s="226" t="str">
        <f t="shared" ref="I102:I133" si="29">IF(A102="","",1)</f>
        <v/>
      </c>
      <c r="J102" s="216" t="str">
        <f t="shared" ref="J102:J133" si="30">IF(K102&lt;&gt;"OK","",H102*I102*(1.4*(C102+D102)+1.6*E102))</f>
        <v/>
      </c>
      <c r="K102" s="218" t="str">
        <f t="shared" ref="K102:K133" si="31">IF(AND(A102="",B102="",F102="",G102=""),"",IF(OR(COUNTIF($O$5:$O$104,A102)&lt;&gt;1,B102="",COUNT(C102:G102,I102)&lt;&gt;6,MIN(C102:E102)&lt;0,F102&lt;=0,G102&lt;=0,I102&lt;=0,MOD(I102,1)&lt;&gt;0),"INPUT REQUIRED","OK"))</f>
        <v/>
      </c>
      <c r="M102" s="15"/>
      <c r="N102" s="15"/>
      <c r="O102" s="223" t="s">
        <v>315</v>
      </c>
      <c r="P102" s="220" t="str">
        <f t="shared" si="25"/>
        <v/>
      </c>
      <c r="Q102" s="221" t="str">
        <f>IF(S102&lt;&gt;"",IF(AND(ISNUMBER(S102),S102&gt;=0),"OK","INVALID MANUAL LOAD"),IF(COUNTIF(TCFloors[TC ID],O102)=0,"UNUSED",IF(COUNTIFS(TCFloors[TC ID],O102,TCFloors[Check],"&lt;&gt;OK")&gt;0,"INPUT REQUIRED","OK")))</f>
        <v>UNUSED</v>
      </c>
      <c r="R102" s="222" t="str">
        <f>IF(AND(COUNTIF(TCFloors[TC ID],O102)&gt;0,COUNTIFS(TCFloors[TC ID],O102,TCFloors[Check],"&lt;&gt;OK")=0),SUMIF(TCFloors[TC ID],O102,TCFloors[Floor Load]),"")</f>
        <v/>
      </c>
      <c r="S102" s="228"/>
      <c r="T102" s="202" t="str">
        <f t="shared" si="26"/>
        <v/>
      </c>
    </row>
    <row r="103" spans="1:20" ht="28.05" customHeight="1">
      <c r="A103" s="40"/>
      <c r="B103" s="41"/>
      <c r="C103" s="224" t="str">
        <f t="shared" si="27"/>
        <v/>
      </c>
      <c r="D103" s="31"/>
      <c r="E103" s="224" t="str">
        <f>IF(B103="","",IFERROR(IF(INDEX('Imposed Load'!$B$16:$B$68,MATCH(B103,'Imposed Load'!$A$16:$A$68,0))="LL-SPECIAL","",INDEX('Imposed Load'!$C$16:$C$68,MATCH(B103,'Imposed Load'!$A$16:$A$68,0))),""))</f>
        <v/>
      </c>
      <c r="F103" s="31"/>
      <c r="G103" s="31"/>
      <c r="H103" s="216" t="str">
        <f t="shared" si="28"/>
        <v/>
      </c>
      <c r="I103" s="226" t="str">
        <f t="shared" si="29"/>
        <v/>
      </c>
      <c r="J103" s="216" t="str">
        <f t="shared" si="30"/>
        <v/>
      </c>
      <c r="K103" s="218" t="str">
        <f t="shared" si="31"/>
        <v/>
      </c>
      <c r="M103" s="15"/>
      <c r="N103" s="15"/>
      <c r="O103" s="223" t="s">
        <v>316</v>
      </c>
      <c r="P103" s="220" t="str">
        <f t="shared" si="25"/>
        <v/>
      </c>
      <c r="Q103" s="221" t="str">
        <f>IF(S103&lt;&gt;"",IF(AND(ISNUMBER(S103),S103&gt;=0),"OK","INVALID MANUAL LOAD"),IF(COUNTIF(TCFloors[TC ID],O103)=0,"UNUSED",IF(COUNTIFS(TCFloors[TC ID],O103,TCFloors[Check],"&lt;&gt;OK")&gt;0,"INPUT REQUIRED","OK")))</f>
        <v>UNUSED</v>
      </c>
      <c r="R103" s="222" t="str">
        <f>IF(AND(COUNTIF(TCFloors[TC ID],O103)&gt;0,COUNTIFS(TCFloors[TC ID],O103,TCFloors[Check],"&lt;&gt;OK")=0),SUMIF(TCFloors[TC ID],O103,TCFloors[Floor Load]),"")</f>
        <v/>
      </c>
      <c r="S103" s="228"/>
      <c r="T103" s="202" t="str">
        <f t="shared" si="26"/>
        <v/>
      </c>
    </row>
    <row r="104" spans="1:20" ht="28.05" customHeight="1">
      <c r="A104" s="40"/>
      <c r="B104" s="41"/>
      <c r="C104" s="224" t="str">
        <f t="shared" si="27"/>
        <v/>
      </c>
      <c r="D104" s="31"/>
      <c r="E104" s="224" t="str">
        <f>IF(B104="","",IFERROR(IF(INDEX('Imposed Load'!$B$16:$B$68,MATCH(B104,'Imposed Load'!$A$16:$A$68,0))="LL-SPECIAL","",INDEX('Imposed Load'!$C$16:$C$68,MATCH(B104,'Imposed Load'!$A$16:$A$68,0))),""))</f>
        <v/>
      </c>
      <c r="F104" s="31"/>
      <c r="G104" s="31"/>
      <c r="H104" s="216" t="str">
        <f t="shared" si="28"/>
        <v/>
      </c>
      <c r="I104" s="226" t="str">
        <f t="shared" si="29"/>
        <v/>
      </c>
      <c r="J104" s="216" t="str">
        <f t="shared" si="30"/>
        <v/>
      </c>
      <c r="K104" s="218" t="str">
        <f t="shared" si="31"/>
        <v/>
      </c>
      <c r="M104" s="15"/>
      <c r="N104" s="15"/>
      <c r="O104" s="223" t="s">
        <v>317</v>
      </c>
      <c r="P104" s="220" t="str">
        <f t="shared" si="25"/>
        <v/>
      </c>
      <c r="Q104" s="221" t="str">
        <f>IF(S104&lt;&gt;"",IF(AND(ISNUMBER(S104),S104&gt;=0),"OK","INVALID MANUAL LOAD"),IF(COUNTIF(TCFloors[TC ID],O104)=0,"UNUSED",IF(COUNTIFS(TCFloors[TC ID],O104,TCFloors[Check],"&lt;&gt;OK")&gt;0,"INPUT REQUIRED","OK")))</f>
        <v>UNUSED</v>
      </c>
      <c r="R104" s="222" t="str">
        <f>IF(AND(COUNTIF(TCFloors[TC ID],O104)&gt;0,COUNTIFS(TCFloors[TC ID],O104,TCFloors[Check],"&lt;&gt;OK")=0),SUMIF(TCFloors[TC ID],O104,TCFloors[Floor Load]),"")</f>
        <v/>
      </c>
      <c r="S104" s="228"/>
      <c r="T104" s="202" t="str">
        <f t="shared" si="26"/>
        <v/>
      </c>
    </row>
    <row r="105" spans="1:20" ht="28.05" customHeight="1">
      <c r="A105" s="40"/>
      <c r="B105" s="41"/>
      <c r="C105" s="224" t="str">
        <f t="shared" si="27"/>
        <v/>
      </c>
      <c r="D105" s="31"/>
      <c r="E105" s="224" t="str">
        <f>IF(B105="","",IFERROR(IF(INDEX('Imposed Load'!$B$16:$B$68,MATCH(B105,'Imposed Load'!$A$16:$A$68,0))="LL-SPECIAL","",INDEX('Imposed Load'!$C$16:$C$68,MATCH(B105,'Imposed Load'!$A$16:$A$68,0))),""))</f>
        <v/>
      </c>
      <c r="F105" s="31"/>
      <c r="G105" s="31"/>
      <c r="H105" s="216" t="str">
        <f t="shared" si="28"/>
        <v/>
      </c>
      <c r="I105" s="226" t="str">
        <f t="shared" si="29"/>
        <v/>
      </c>
      <c r="J105" s="216" t="str">
        <f t="shared" si="30"/>
        <v/>
      </c>
      <c r="K105" s="218" t="str">
        <f t="shared" si="31"/>
        <v/>
      </c>
      <c r="M105" s="15"/>
      <c r="N105" s="15"/>
      <c r="O105" s="15"/>
      <c r="P105" s="15"/>
      <c r="Q105" s="15"/>
    </row>
    <row r="106" spans="1:20" ht="28.05" customHeight="1">
      <c r="A106" s="40"/>
      <c r="B106" s="41"/>
      <c r="C106" s="224" t="str">
        <f t="shared" si="27"/>
        <v/>
      </c>
      <c r="D106" s="31"/>
      <c r="E106" s="224" t="str">
        <f>IF(B106="","",IFERROR(IF(INDEX('Imposed Load'!$B$16:$B$68,MATCH(B106,'Imposed Load'!$A$16:$A$68,0))="LL-SPECIAL","",INDEX('Imposed Load'!$C$16:$C$68,MATCH(B106,'Imposed Load'!$A$16:$A$68,0))),""))</f>
        <v/>
      </c>
      <c r="F106" s="31"/>
      <c r="G106" s="31"/>
      <c r="H106" s="216" t="str">
        <f t="shared" si="28"/>
        <v/>
      </c>
      <c r="I106" s="226" t="str">
        <f t="shared" si="29"/>
        <v/>
      </c>
      <c r="J106" s="216" t="str">
        <f t="shared" si="30"/>
        <v/>
      </c>
      <c r="K106" s="218" t="str">
        <f t="shared" si="31"/>
        <v/>
      </c>
      <c r="M106" s="15"/>
      <c r="N106" s="15"/>
      <c r="O106" s="15"/>
      <c r="P106" s="15"/>
      <c r="Q106" s="15"/>
    </row>
    <row r="107" spans="1:20" ht="28.05" customHeight="1">
      <c r="A107" s="40"/>
      <c r="B107" s="41"/>
      <c r="C107" s="224" t="str">
        <f t="shared" si="27"/>
        <v/>
      </c>
      <c r="D107" s="31"/>
      <c r="E107" s="224" t="str">
        <f>IF(B107="","",IFERROR(IF(INDEX('Imposed Load'!$B$16:$B$68,MATCH(B107,'Imposed Load'!$A$16:$A$68,0))="LL-SPECIAL","",INDEX('Imposed Load'!$C$16:$C$68,MATCH(B107,'Imposed Load'!$A$16:$A$68,0))),""))</f>
        <v/>
      </c>
      <c r="F107" s="31"/>
      <c r="G107" s="31"/>
      <c r="H107" s="216" t="str">
        <f t="shared" si="28"/>
        <v/>
      </c>
      <c r="I107" s="226" t="str">
        <f t="shared" si="29"/>
        <v/>
      </c>
      <c r="J107" s="216" t="str">
        <f t="shared" si="30"/>
        <v/>
      </c>
      <c r="K107" s="218" t="str">
        <f t="shared" si="31"/>
        <v/>
      </c>
      <c r="M107" s="15"/>
      <c r="N107" s="15"/>
      <c r="O107" s="15"/>
      <c r="P107" s="15"/>
      <c r="Q107" s="15"/>
    </row>
    <row r="108" spans="1:20" ht="28.05" customHeight="1">
      <c r="A108" s="40"/>
      <c r="B108" s="41"/>
      <c r="C108" s="224" t="str">
        <f t="shared" si="27"/>
        <v/>
      </c>
      <c r="D108" s="31"/>
      <c r="E108" s="224" t="str">
        <f>IF(B108="","",IFERROR(IF(INDEX('Imposed Load'!$B$16:$B$68,MATCH(B108,'Imposed Load'!$A$16:$A$68,0))="LL-SPECIAL","",INDEX('Imposed Load'!$C$16:$C$68,MATCH(B108,'Imposed Load'!$A$16:$A$68,0))),""))</f>
        <v/>
      </c>
      <c r="F108" s="31"/>
      <c r="G108" s="31"/>
      <c r="H108" s="216" t="str">
        <f t="shared" si="28"/>
        <v/>
      </c>
      <c r="I108" s="226" t="str">
        <f t="shared" si="29"/>
        <v/>
      </c>
      <c r="J108" s="216" t="str">
        <f t="shared" si="30"/>
        <v/>
      </c>
      <c r="K108" s="218" t="str">
        <f t="shared" si="31"/>
        <v/>
      </c>
      <c r="M108" s="15"/>
      <c r="N108" s="15"/>
      <c r="O108" s="15"/>
      <c r="P108" s="15"/>
      <c r="Q108" s="15"/>
    </row>
    <row r="109" spans="1:20" ht="28.05" customHeight="1">
      <c r="A109" s="40"/>
      <c r="B109" s="41"/>
      <c r="C109" s="224" t="str">
        <f t="shared" si="27"/>
        <v/>
      </c>
      <c r="D109" s="31"/>
      <c r="E109" s="224" t="str">
        <f>IF(B109="","",IFERROR(IF(INDEX('Imposed Load'!$B$16:$B$68,MATCH(B109,'Imposed Load'!$A$16:$A$68,0))="LL-SPECIAL","",INDEX('Imposed Load'!$C$16:$C$68,MATCH(B109,'Imposed Load'!$A$16:$A$68,0))),""))</f>
        <v/>
      </c>
      <c r="F109" s="31"/>
      <c r="G109" s="31"/>
      <c r="H109" s="216" t="str">
        <f t="shared" si="28"/>
        <v/>
      </c>
      <c r="I109" s="226" t="str">
        <f t="shared" si="29"/>
        <v/>
      </c>
      <c r="J109" s="216" t="str">
        <f t="shared" si="30"/>
        <v/>
      </c>
      <c r="K109" s="218" t="str">
        <f t="shared" si="31"/>
        <v/>
      </c>
      <c r="M109" s="15"/>
      <c r="N109" s="15"/>
      <c r="O109" s="15"/>
      <c r="P109" s="15"/>
      <c r="Q109" s="15"/>
    </row>
    <row r="110" spans="1:20" ht="28.05" customHeight="1">
      <c r="A110" s="40"/>
      <c r="B110" s="41"/>
      <c r="C110" s="224" t="str">
        <f t="shared" si="27"/>
        <v/>
      </c>
      <c r="D110" s="31"/>
      <c r="E110" s="224" t="str">
        <f>IF(B110="","",IFERROR(IF(INDEX('Imposed Load'!$B$16:$B$68,MATCH(B110,'Imposed Load'!$A$16:$A$68,0))="LL-SPECIAL","",INDEX('Imposed Load'!$C$16:$C$68,MATCH(B110,'Imposed Load'!$A$16:$A$68,0))),""))</f>
        <v/>
      </c>
      <c r="F110" s="31"/>
      <c r="G110" s="31"/>
      <c r="H110" s="216" t="str">
        <f t="shared" si="28"/>
        <v/>
      </c>
      <c r="I110" s="226" t="str">
        <f t="shared" si="29"/>
        <v/>
      </c>
      <c r="J110" s="216" t="str">
        <f t="shared" si="30"/>
        <v/>
      </c>
      <c r="K110" s="218" t="str">
        <f t="shared" si="31"/>
        <v/>
      </c>
      <c r="M110" s="15"/>
      <c r="N110" s="15"/>
      <c r="O110" s="15"/>
      <c r="P110" s="15"/>
      <c r="Q110" s="15"/>
    </row>
    <row r="111" spans="1:20" ht="28.05" customHeight="1">
      <c r="A111" s="40"/>
      <c r="B111" s="41"/>
      <c r="C111" s="224" t="str">
        <f t="shared" si="27"/>
        <v/>
      </c>
      <c r="D111" s="31"/>
      <c r="E111" s="224" t="str">
        <f>IF(B111="","",IFERROR(IF(INDEX('Imposed Load'!$B$16:$B$68,MATCH(B111,'Imposed Load'!$A$16:$A$68,0))="LL-SPECIAL","",INDEX('Imposed Load'!$C$16:$C$68,MATCH(B111,'Imposed Load'!$A$16:$A$68,0))),""))</f>
        <v/>
      </c>
      <c r="F111" s="31"/>
      <c r="G111" s="31"/>
      <c r="H111" s="216" t="str">
        <f t="shared" si="28"/>
        <v/>
      </c>
      <c r="I111" s="226" t="str">
        <f t="shared" si="29"/>
        <v/>
      </c>
      <c r="J111" s="216" t="str">
        <f t="shared" si="30"/>
        <v/>
      </c>
      <c r="K111" s="218" t="str">
        <f t="shared" si="31"/>
        <v/>
      </c>
      <c r="M111" s="15"/>
      <c r="N111" s="15"/>
      <c r="O111" s="15"/>
      <c r="P111" s="15"/>
      <c r="Q111" s="15"/>
    </row>
    <row r="112" spans="1:20" ht="28.05" customHeight="1">
      <c r="A112" s="40"/>
      <c r="B112" s="41"/>
      <c r="C112" s="224" t="str">
        <f t="shared" si="27"/>
        <v/>
      </c>
      <c r="D112" s="31"/>
      <c r="E112" s="224" t="str">
        <f>IF(B112="","",IFERROR(IF(INDEX('Imposed Load'!$B$16:$B$68,MATCH(B112,'Imposed Load'!$A$16:$A$68,0))="LL-SPECIAL","",INDEX('Imposed Load'!$C$16:$C$68,MATCH(B112,'Imposed Load'!$A$16:$A$68,0))),""))</f>
        <v/>
      </c>
      <c r="F112" s="31"/>
      <c r="G112" s="31"/>
      <c r="H112" s="216" t="str">
        <f t="shared" si="28"/>
        <v/>
      </c>
      <c r="I112" s="226" t="str">
        <f t="shared" si="29"/>
        <v/>
      </c>
      <c r="J112" s="216" t="str">
        <f t="shared" si="30"/>
        <v/>
      </c>
      <c r="K112" s="218" t="str">
        <f t="shared" si="31"/>
        <v/>
      </c>
      <c r="M112" s="15"/>
      <c r="N112" s="15"/>
      <c r="O112" s="15"/>
      <c r="P112" s="15"/>
      <c r="Q112" s="15"/>
    </row>
    <row r="113" spans="1:17" ht="28.05" customHeight="1">
      <c r="A113" s="40"/>
      <c r="B113" s="41"/>
      <c r="C113" s="224" t="str">
        <f t="shared" si="27"/>
        <v/>
      </c>
      <c r="D113" s="31"/>
      <c r="E113" s="224" t="str">
        <f>IF(B113="","",IFERROR(IF(INDEX('Imposed Load'!$B$16:$B$68,MATCH(B113,'Imposed Load'!$A$16:$A$68,0))="LL-SPECIAL","",INDEX('Imposed Load'!$C$16:$C$68,MATCH(B113,'Imposed Load'!$A$16:$A$68,0))),""))</f>
        <v/>
      </c>
      <c r="F113" s="31"/>
      <c r="G113" s="31"/>
      <c r="H113" s="216" t="str">
        <f t="shared" si="28"/>
        <v/>
      </c>
      <c r="I113" s="226" t="str">
        <f t="shared" si="29"/>
        <v/>
      </c>
      <c r="J113" s="216" t="str">
        <f t="shared" si="30"/>
        <v/>
      </c>
      <c r="K113" s="218" t="str">
        <f t="shared" si="31"/>
        <v/>
      </c>
      <c r="M113" s="15"/>
      <c r="N113" s="15"/>
      <c r="O113" s="15"/>
      <c r="P113" s="15"/>
      <c r="Q113" s="15"/>
    </row>
    <row r="114" spans="1:17" ht="28.05" customHeight="1">
      <c r="A114" s="40"/>
      <c r="B114" s="41"/>
      <c r="C114" s="224" t="str">
        <f t="shared" si="27"/>
        <v/>
      </c>
      <c r="D114" s="31"/>
      <c r="E114" s="224" t="str">
        <f>IF(B114="","",IFERROR(IF(INDEX('Imposed Load'!$B$16:$B$68,MATCH(B114,'Imposed Load'!$A$16:$A$68,0))="LL-SPECIAL","",INDEX('Imposed Load'!$C$16:$C$68,MATCH(B114,'Imposed Load'!$A$16:$A$68,0))),""))</f>
        <v/>
      </c>
      <c r="F114" s="31"/>
      <c r="G114" s="31"/>
      <c r="H114" s="216" t="str">
        <f t="shared" si="28"/>
        <v/>
      </c>
      <c r="I114" s="226" t="str">
        <f t="shared" si="29"/>
        <v/>
      </c>
      <c r="J114" s="216" t="str">
        <f t="shared" si="30"/>
        <v/>
      </c>
      <c r="K114" s="218" t="str">
        <f t="shared" si="31"/>
        <v/>
      </c>
      <c r="M114" s="15"/>
      <c r="N114" s="15"/>
      <c r="O114" s="15"/>
      <c r="P114" s="15"/>
      <c r="Q114" s="15"/>
    </row>
    <row r="115" spans="1:17" ht="28.05" customHeight="1">
      <c r="A115" s="40"/>
      <c r="B115" s="41"/>
      <c r="C115" s="224" t="str">
        <f t="shared" si="27"/>
        <v/>
      </c>
      <c r="D115" s="31"/>
      <c r="E115" s="224" t="str">
        <f>IF(B115="","",IFERROR(IF(INDEX('Imposed Load'!$B$16:$B$68,MATCH(B115,'Imposed Load'!$A$16:$A$68,0))="LL-SPECIAL","",INDEX('Imposed Load'!$C$16:$C$68,MATCH(B115,'Imposed Load'!$A$16:$A$68,0))),""))</f>
        <v/>
      </c>
      <c r="F115" s="31"/>
      <c r="G115" s="31"/>
      <c r="H115" s="216" t="str">
        <f t="shared" si="28"/>
        <v/>
      </c>
      <c r="I115" s="226" t="str">
        <f t="shared" si="29"/>
        <v/>
      </c>
      <c r="J115" s="216" t="str">
        <f t="shared" si="30"/>
        <v/>
      </c>
      <c r="K115" s="218" t="str">
        <f t="shared" si="31"/>
        <v/>
      </c>
      <c r="M115" s="15"/>
      <c r="N115" s="15"/>
      <c r="O115" s="15"/>
      <c r="P115" s="15"/>
      <c r="Q115" s="15"/>
    </row>
    <row r="116" spans="1:17" ht="28.05" customHeight="1">
      <c r="A116" s="40"/>
      <c r="B116" s="41"/>
      <c r="C116" s="224" t="str">
        <f t="shared" si="27"/>
        <v/>
      </c>
      <c r="D116" s="31"/>
      <c r="E116" s="224" t="str">
        <f>IF(B116="","",IFERROR(IF(INDEX('Imposed Load'!$B$16:$B$68,MATCH(B116,'Imposed Load'!$A$16:$A$68,0))="LL-SPECIAL","",INDEX('Imposed Load'!$C$16:$C$68,MATCH(B116,'Imposed Load'!$A$16:$A$68,0))),""))</f>
        <v/>
      </c>
      <c r="F116" s="31"/>
      <c r="G116" s="31"/>
      <c r="H116" s="216" t="str">
        <f t="shared" si="28"/>
        <v/>
      </c>
      <c r="I116" s="226" t="str">
        <f t="shared" si="29"/>
        <v/>
      </c>
      <c r="J116" s="216" t="str">
        <f t="shared" si="30"/>
        <v/>
      </c>
      <c r="K116" s="218" t="str">
        <f t="shared" si="31"/>
        <v/>
      </c>
      <c r="M116" s="15"/>
      <c r="N116" s="15"/>
      <c r="O116" s="15"/>
      <c r="P116" s="15"/>
      <c r="Q116" s="15"/>
    </row>
    <row r="117" spans="1:17" ht="28.05" customHeight="1">
      <c r="A117" s="40"/>
      <c r="B117" s="41"/>
      <c r="C117" s="224" t="str">
        <f t="shared" si="27"/>
        <v/>
      </c>
      <c r="D117" s="31"/>
      <c r="E117" s="224" t="str">
        <f>IF(B117="","",IFERROR(IF(INDEX('Imposed Load'!$B$16:$B$68,MATCH(B117,'Imposed Load'!$A$16:$A$68,0))="LL-SPECIAL","",INDEX('Imposed Load'!$C$16:$C$68,MATCH(B117,'Imposed Load'!$A$16:$A$68,0))),""))</f>
        <v/>
      </c>
      <c r="F117" s="31"/>
      <c r="G117" s="31"/>
      <c r="H117" s="216" t="str">
        <f t="shared" si="28"/>
        <v/>
      </c>
      <c r="I117" s="226" t="str">
        <f t="shared" si="29"/>
        <v/>
      </c>
      <c r="J117" s="216" t="str">
        <f t="shared" si="30"/>
        <v/>
      </c>
      <c r="K117" s="218" t="str">
        <f t="shared" si="31"/>
        <v/>
      </c>
      <c r="M117" s="15"/>
      <c r="N117" s="15"/>
      <c r="O117" s="15"/>
      <c r="P117" s="15"/>
      <c r="Q117" s="15"/>
    </row>
    <row r="118" spans="1:17" ht="28.05" customHeight="1">
      <c r="A118" s="40"/>
      <c r="B118" s="41"/>
      <c r="C118" s="224" t="str">
        <f t="shared" si="27"/>
        <v/>
      </c>
      <c r="D118" s="31"/>
      <c r="E118" s="224" t="str">
        <f>IF(B118="","",IFERROR(IF(INDEX('Imposed Load'!$B$16:$B$68,MATCH(B118,'Imposed Load'!$A$16:$A$68,0))="LL-SPECIAL","",INDEX('Imposed Load'!$C$16:$C$68,MATCH(B118,'Imposed Load'!$A$16:$A$68,0))),""))</f>
        <v/>
      </c>
      <c r="F118" s="31"/>
      <c r="G118" s="31"/>
      <c r="H118" s="216" t="str">
        <f t="shared" si="28"/>
        <v/>
      </c>
      <c r="I118" s="226" t="str">
        <f t="shared" si="29"/>
        <v/>
      </c>
      <c r="J118" s="216" t="str">
        <f t="shared" si="30"/>
        <v/>
      </c>
      <c r="K118" s="218" t="str">
        <f t="shared" si="31"/>
        <v/>
      </c>
      <c r="M118" s="15"/>
      <c r="N118" s="15"/>
      <c r="O118" s="15"/>
      <c r="P118" s="15"/>
      <c r="Q118" s="15"/>
    </row>
    <row r="119" spans="1:17" ht="28.05" customHeight="1">
      <c r="A119" s="40"/>
      <c r="B119" s="41"/>
      <c r="C119" s="224" t="str">
        <f t="shared" si="27"/>
        <v/>
      </c>
      <c r="D119" s="31"/>
      <c r="E119" s="224" t="str">
        <f>IF(B119="","",IFERROR(IF(INDEX('Imposed Load'!$B$16:$B$68,MATCH(B119,'Imposed Load'!$A$16:$A$68,0))="LL-SPECIAL","",INDEX('Imposed Load'!$C$16:$C$68,MATCH(B119,'Imposed Load'!$A$16:$A$68,0))),""))</f>
        <v/>
      </c>
      <c r="F119" s="31"/>
      <c r="G119" s="31"/>
      <c r="H119" s="216" t="str">
        <f t="shared" si="28"/>
        <v/>
      </c>
      <c r="I119" s="226" t="str">
        <f t="shared" si="29"/>
        <v/>
      </c>
      <c r="J119" s="216" t="str">
        <f t="shared" si="30"/>
        <v/>
      </c>
      <c r="K119" s="218" t="str">
        <f t="shared" si="31"/>
        <v/>
      </c>
      <c r="M119" s="15"/>
      <c r="N119" s="15"/>
      <c r="O119" s="15"/>
      <c r="P119" s="15"/>
      <c r="Q119" s="15"/>
    </row>
    <row r="120" spans="1:17" ht="28.05" customHeight="1">
      <c r="A120" s="40"/>
      <c r="B120" s="41"/>
      <c r="C120" s="224" t="str">
        <f t="shared" si="27"/>
        <v/>
      </c>
      <c r="D120" s="31"/>
      <c r="E120" s="224" t="str">
        <f>IF(B120="","",IFERROR(IF(INDEX('Imposed Load'!$B$16:$B$68,MATCH(B120,'Imposed Load'!$A$16:$A$68,0))="LL-SPECIAL","",INDEX('Imposed Load'!$C$16:$C$68,MATCH(B120,'Imposed Load'!$A$16:$A$68,0))),""))</f>
        <v/>
      </c>
      <c r="F120" s="31"/>
      <c r="G120" s="31"/>
      <c r="H120" s="216" t="str">
        <f t="shared" si="28"/>
        <v/>
      </c>
      <c r="I120" s="226" t="str">
        <f t="shared" si="29"/>
        <v/>
      </c>
      <c r="J120" s="216" t="str">
        <f t="shared" si="30"/>
        <v/>
      </c>
      <c r="K120" s="218" t="str">
        <f t="shared" si="31"/>
        <v/>
      </c>
      <c r="M120" s="15"/>
      <c r="N120" s="15"/>
      <c r="O120" s="15"/>
      <c r="P120" s="15"/>
      <c r="Q120" s="15"/>
    </row>
    <row r="121" spans="1:17" ht="28.05" customHeight="1">
      <c r="A121" s="40"/>
      <c r="B121" s="41"/>
      <c r="C121" s="224" t="str">
        <f t="shared" si="27"/>
        <v/>
      </c>
      <c r="D121" s="31"/>
      <c r="E121" s="224" t="str">
        <f>IF(B121="","",IFERROR(IF(INDEX('Imposed Load'!$B$16:$B$68,MATCH(B121,'Imposed Load'!$A$16:$A$68,0))="LL-SPECIAL","",INDEX('Imposed Load'!$C$16:$C$68,MATCH(B121,'Imposed Load'!$A$16:$A$68,0))),""))</f>
        <v/>
      </c>
      <c r="F121" s="31"/>
      <c r="G121" s="31"/>
      <c r="H121" s="216" t="str">
        <f t="shared" si="28"/>
        <v/>
      </c>
      <c r="I121" s="226" t="str">
        <f t="shared" si="29"/>
        <v/>
      </c>
      <c r="J121" s="216" t="str">
        <f t="shared" si="30"/>
        <v/>
      </c>
      <c r="K121" s="218" t="str">
        <f t="shared" si="31"/>
        <v/>
      </c>
      <c r="M121" s="15"/>
      <c r="N121" s="15"/>
      <c r="O121" s="15"/>
      <c r="P121" s="15"/>
      <c r="Q121" s="15"/>
    </row>
    <row r="122" spans="1:17" ht="28.05" customHeight="1">
      <c r="A122" s="40"/>
      <c r="B122" s="41"/>
      <c r="C122" s="224" t="str">
        <f t="shared" si="27"/>
        <v/>
      </c>
      <c r="D122" s="31"/>
      <c r="E122" s="224" t="str">
        <f>IF(B122="","",IFERROR(IF(INDEX('Imposed Load'!$B$16:$B$68,MATCH(B122,'Imposed Load'!$A$16:$A$68,0))="LL-SPECIAL","",INDEX('Imposed Load'!$C$16:$C$68,MATCH(B122,'Imposed Load'!$A$16:$A$68,0))),""))</f>
        <v/>
      </c>
      <c r="F122" s="31"/>
      <c r="G122" s="31"/>
      <c r="H122" s="216" t="str">
        <f t="shared" si="28"/>
        <v/>
      </c>
      <c r="I122" s="226" t="str">
        <f t="shared" si="29"/>
        <v/>
      </c>
      <c r="J122" s="216" t="str">
        <f t="shared" si="30"/>
        <v/>
      </c>
      <c r="K122" s="218" t="str">
        <f t="shared" si="31"/>
        <v/>
      </c>
      <c r="M122" s="15"/>
      <c r="N122" s="15"/>
      <c r="O122" s="15"/>
      <c r="P122" s="15"/>
      <c r="Q122" s="15"/>
    </row>
    <row r="123" spans="1:17" ht="28.05" customHeight="1">
      <c r="A123" s="40"/>
      <c r="B123" s="41"/>
      <c r="C123" s="224" t="str">
        <f t="shared" si="27"/>
        <v/>
      </c>
      <c r="D123" s="31"/>
      <c r="E123" s="224" t="str">
        <f>IF(B123="","",IFERROR(IF(INDEX('Imposed Load'!$B$16:$B$68,MATCH(B123,'Imposed Load'!$A$16:$A$68,0))="LL-SPECIAL","",INDEX('Imposed Load'!$C$16:$C$68,MATCH(B123,'Imposed Load'!$A$16:$A$68,0))),""))</f>
        <v/>
      </c>
      <c r="F123" s="31"/>
      <c r="G123" s="31"/>
      <c r="H123" s="216" t="str">
        <f t="shared" si="28"/>
        <v/>
      </c>
      <c r="I123" s="226" t="str">
        <f t="shared" si="29"/>
        <v/>
      </c>
      <c r="J123" s="216" t="str">
        <f t="shared" si="30"/>
        <v/>
      </c>
      <c r="K123" s="218" t="str">
        <f t="shared" si="31"/>
        <v/>
      </c>
      <c r="M123" s="15"/>
      <c r="N123" s="15"/>
      <c r="O123" s="15"/>
      <c r="P123" s="15"/>
      <c r="Q123" s="15"/>
    </row>
    <row r="124" spans="1:17" ht="28.05" customHeight="1">
      <c r="A124" s="40"/>
      <c r="B124" s="41"/>
      <c r="C124" s="224" t="str">
        <f t="shared" si="27"/>
        <v/>
      </c>
      <c r="D124" s="31"/>
      <c r="E124" s="224" t="str">
        <f>IF(B124="","",IFERROR(IF(INDEX('Imposed Load'!$B$16:$B$68,MATCH(B124,'Imposed Load'!$A$16:$A$68,0))="LL-SPECIAL","",INDEX('Imposed Load'!$C$16:$C$68,MATCH(B124,'Imposed Load'!$A$16:$A$68,0))),""))</f>
        <v/>
      </c>
      <c r="F124" s="31"/>
      <c r="G124" s="31"/>
      <c r="H124" s="216" t="str">
        <f t="shared" si="28"/>
        <v/>
      </c>
      <c r="I124" s="226" t="str">
        <f t="shared" si="29"/>
        <v/>
      </c>
      <c r="J124" s="216" t="str">
        <f t="shared" si="30"/>
        <v/>
      </c>
      <c r="K124" s="218" t="str">
        <f t="shared" si="31"/>
        <v/>
      </c>
      <c r="M124" s="15"/>
      <c r="N124" s="15"/>
      <c r="O124" s="15"/>
      <c r="P124" s="15"/>
      <c r="Q124" s="15"/>
    </row>
    <row r="125" spans="1:17" ht="28.05" customHeight="1">
      <c r="A125" s="40"/>
      <c r="B125" s="41"/>
      <c r="C125" s="224" t="str">
        <f t="shared" si="27"/>
        <v/>
      </c>
      <c r="D125" s="31"/>
      <c r="E125" s="224" t="str">
        <f>IF(B125="","",IFERROR(IF(INDEX('Imposed Load'!$B$16:$B$68,MATCH(B125,'Imposed Load'!$A$16:$A$68,0))="LL-SPECIAL","",INDEX('Imposed Load'!$C$16:$C$68,MATCH(B125,'Imposed Load'!$A$16:$A$68,0))),""))</f>
        <v/>
      </c>
      <c r="F125" s="31"/>
      <c r="G125" s="31"/>
      <c r="H125" s="216" t="str">
        <f t="shared" si="28"/>
        <v/>
      </c>
      <c r="I125" s="226" t="str">
        <f t="shared" si="29"/>
        <v/>
      </c>
      <c r="J125" s="216" t="str">
        <f t="shared" si="30"/>
        <v/>
      </c>
      <c r="K125" s="218" t="str">
        <f t="shared" si="31"/>
        <v/>
      </c>
      <c r="M125" s="15"/>
      <c r="N125" s="15"/>
      <c r="O125" s="15"/>
      <c r="P125" s="15"/>
      <c r="Q125" s="15"/>
    </row>
    <row r="126" spans="1:17" ht="28.05" customHeight="1">
      <c r="A126" s="40"/>
      <c r="B126" s="41"/>
      <c r="C126" s="224" t="str">
        <f t="shared" si="27"/>
        <v/>
      </c>
      <c r="D126" s="31"/>
      <c r="E126" s="224" t="str">
        <f>IF(B126="","",IFERROR(IF(INDEX('Imposed Load'!$B$16:$B$68,MATCH(B126,'Imposed Load'!$A$16:$A$68,0))="LL-SPECIAL","",INDEX('Imposed Load'!$C$16:$C$68,MATCH(B126,'Imposed Load'!$A$16:$A$68,0))),""))</f>
        <v/>
      </c>
      <c r="F126" s="31"/>
      <c r="G126" s="31"/>
      <c r="H126" s="216" t="str">
        <f t="shared" si="28"/>
        <v/>
      </c>
      <c r="I126" s="226" t="str">
        <f t="shared" si="29"/>
        <v/>
      </c>
      <c r="J126" s="216" t="str">
        <f t="shared" si="30"/>
        <v/>
      </c>
      <c r="K126" s="218" t="str">
        <f t="shared" si="31"/>
        <v/>
      </c>
      <c r="M126" s="15"/>
      <c r="N126" s="15"/>
      <c r="O126" s="15"/>
      <c r="P126" s="15"/>
      <c r="Q126" s="15"/>
    </row>
    <row r="127" spans="1:17" ht="28.05" customHeight="1">
      <c r="A127" s="40"/>
      <c r="B127" s="41"/>
      <c r="C127" s="224" t="str">
        <f t="shared" si="27"/>
        <v/>
      </c>
      <c r="D127" s="31"/>
      <c r="E127" s="224" t="str">
        <f>IF(B127="","",IFERROR(IF(INDEX('Imposed Load'!$B$16:$B$68,MATCH(B127,'Imposed Load'!$A$16:$A$68,0))="LL-SPECIAL","",INDEX('Imposed Load'!$C$16:$C$68,MATCH(B127,'Imposed Load'!$A$16:$A$68,0))),""))</f>
        <v/>
      </c>
      <c r="F127" s="31"/>
      <c r="G127" s="31"/>
      <c r="H127" s="216" t="str">
        <f t="shared" si="28"/>
        <v/>
      </c>
      <c r="I127" s="226" t="str">
        <f t="shared" si="29"/>
        <v/>
      </c>
      <c r="J127" s="216" t="str">
        <f t="shared" si="30"/>
        <v/>
      </c>
      <c r="K127" s="218" t="str">
        <f t="shared" si="31"/>
        <v/>
      </c>
      <c r="M127" s="15"/>
      <c r="N127" s="15"/>
      <c r="O127" s="15"/>
      <c r="P127" s="15"/>
      <c r="Q127" s="15"/>
    </row>
    <row r="128" spans="1:17" ht="28.05" customHeight="1">
      <c r="A128" s="40"/>
      <c r="B128" s="41"/>
      <c r="C128" s="224" t="str">
        <f t="shared" si="27"/>
        <v/>
      </c>
      <c r="D128" s="31"/>
      <c r="E128" s="224" t="str">
        <f>IF(B128="","",IFERROR(IF(INDEX('Imposed Load'!$B$16:$B$68,MATCH(B128,'Imposed Load'!$A$16:$A$68,0))="LL-SPECIAL","",INDEX('Imposed Load'!$C$16:$C$68,MATCH(B128,'Imposed Load'!$A$16:$A$68,0))),""))</f>
        <v/>
      </c>
      <c r="F128" s="31"/>
      <c r="G128" s="31"/>
      <c r="H128" s="216" t="str">
        <f t="shared" si="28"/>
        <v/>
      </c>
      <c r="I128" s="226" t="str">
        <f t="shared" si="29"/>
        <v/>
      </c>
      <c r="J128" s="216" t="str">
        <f t="shared" si="30"/>
        <v/>
      </c>
      <c r="K128" s="218" t="str">
        <f t="shared" si="31"/>
        <v/>
      </c>
      <c r="M128" s="15"/>
      <c r="N128" s="15"/>
      <c r="O128" s="15"/>
      <c r="P128" s="15"/>
      <c r="Q128" s="15"/>
    </row>
    <row r="129" spans="1:17" ht="28.05" customHeight="1">
      <c r="A129" s="40"/>
      <c r="B129" s="41"/>
      <c r="C129" s="224" t="str">
        <f t="shared" si="27"/>
        <v/>
      </c>
      <c r="D129" s="31"/>
      <c r="E129" s="224" t="str">
        <f>IF(B129="","",IFERROR(IF(INDEX('Imposed Load'!$B$16:$B$68,MATCH(B129,'Imposed Load'!$A$16:$A$68,0))="LL-SPECIAL","",INDEX('Imposed Load'!$C$16:$C$68,MATCH(B129,'Imposed Load'!$A$16:$A$68,0))),""))</f>
        <v/>
      </c>
      <c r="F129" s="31"/>
      <c r="G129" s="31"/>
      <c r="H129" s="216" t="str">
        <f t="shared" si="28"/>
        <v/>
      </c>
      <c r="I129" s="226" t="str">
        <f t="shared" si="29"/>
        <v/>
      </c>
      <c r="J129" s="216" t="str">
        <f t="shared" si="30"/>
        <v/>
      </c>
      <c r="K129" s="218" t="str">
        <f t="shared" si="31"/>
        <v/>
      </c>
      <c r="M129" s="15"/>
      <c r="N129" s="15"/>
      <c r="O129" s="15"/>
      <c r="P129" s="15"/>
      <c r="Q129" s="15"/>
    </row>
    <row r="130" spans="1:17" ht="28.05" customHeight="1">
      <c r="A130" s="40"/>
      <c r="B130" s="41"/>
      <c r="C130" s="224" t="str">
        <f t="shared" si="27"/>
        <v/>
      </c>
      <c r="D130" s="31"/>
      <c r="E130" s="224" t="str">
        <f>IF(B130="","",IFERROR(IF(INDEX('Imposed Load'!$B$16:$B$68,MATCH(B130,'Imposed Load'!$A$16:$A$68,0))="LL-SPECIAL","",INDEX('Imposed Load'!$C$16:$C$68,MATCH(B130,'Imposed Load'!$A$16:$A$68,0))),""))</f>
        <v/>
      </c>
      <c r="F130" s="31"/>
      <c r="G130" s="31"/>
      <c r="H130" s="216" t="str">
        <f t="shared" si="28"/>
        <v/>
      </c>
      <c r="I130" s="226" t="str">
        <f t="shared" si="29"/>
        <v/>
      </c>
      <c r="J130" s="216" t="str">
        <f t="shared" si="30"/>
        <v/>
      </c>
      <c r="K130" s="218" t="str">
        <f t="shared" si="31"/>
        <v/>
      </c>
      <c r="M130" s="15"/>
      <c r="N130" s="15"/>
      <c r="O130" s="15"/>
      <c r="P130" s="15"/>
      <c r="Q130" s="15"/>
    </row>
    <row r="131" spans="1:17" ht="28.05" customHeight="1">
      <c r="A131" s="40"/>
      <c r="B131" s="41"/>
      <c r="C131" s="224" t="str">
        <f t="shared" si="27"/>
        <v/>
      </c>
      <c r="D131" s="31"/>
      <c r="E131" s="224" t="str">
        <f>IF(B131="","",IFERROR(IF(INDEX('Imposed Load'!$B$16:$B$68,MATCH(B131,'Imposed Load'!$A$16:$A$68,0))="LL-SPECIAL","",INDEX('Imposed Load'!$C$16:$C$68,MATCH(B131,'Imposed Load'!$A$16:$A$68,0))),""))</f>
        <v/>
      </c>
      <c r="F131" s="31"/>
      <c r="G131" s="31"/>
      <c r="H131" s="216" t="str">
        <f t="shared" si="28"/>
        <v/>
      </c>
      <c r="I131" s="226" t="str">
        <f t="shared" si="29"/>
        <v/>
      </c>
      <c r="J131" s="216" t="str">
        <f t="shared" si="30"/>
        <v/>
      </c>
      <c r="K131" s="218" t="str">
        <f t="shared" si="31"/>
        <v/>
      </c>
      <c r="M131" s="15"/>
      <c r="N131" s="15"/>
      <c r="O131" s="15"/>
      <c r="P131" s="15"/>
      <c r="Q131" s="15"/>
    </row>
    <row r="132" spans="1:17" ht="28.05" customHeight="1">
      <c r="A132" s="40"/>
      <c r="B132" s="41"/>
      <c r="C132" s="224" t="str">
        <f t="shared" si="27"/>
        <v/>
      </c>
      <c r="D132" s="31"/>
      <c r="E132" s="224" t="str">
        <f>IF(B132="","",IFERROR(IF(INDEX('Imposed Load'!$B$16:$B$68,MATCH(B132,'Imposed Load'!$A$16:$A$68,0))="LL-SPECIAL","",INDEX('Imposed Load'!$C$16:$C$68,MATCH(B132,'Imposed Load'!$A$16:$A$68,0))),""))</f>
        <v/>
      </c>
      <c r="F132" s="31"/>
      <c r="G132" s="31"/>
      <c r="H132" s="216" t="str">
        <f t="shared" si="28"/>
        <v/>
      </c>
      <c r="I132" s="226" t="str">
        <f t="shared" si="29"/>
        <v/>
      </c>
      <c r="J132" s="216" t="str">
        <f t="shared" si="30"/>
        <v/>
      </c>
      <c r="K132" s="218" t="str">
        <f t="shared" si="31"/>
        <v/>
      </c>
      <c r="M132" s="15"/>
      <c r="N132" s="15"/>
      <c r="O132" s="15"/>
      <c r="P132" s="15"/>
      <c r="Q132" s="15"/>
    </row>
    <row r="133" spans="1:17" ht="28.05" customHeight="1">
      <c r="A133" s="40"/>
      <c r="B133" s="41"/>
      <c r="C133" s="224" t="str">
        <f t="shared" si="27"/>
        <v/>
      </c>
      <c r="D133" s="31"/>
      <c r="E133" s="224" t="str">
        <f>IF(B133="","",IFERROR(IF(INDEX('Imposed Load'!$B$16:$B$68,MATCH(B133,'Imposed Load'!$A$16:$A$68,0))="LL-SPECIAL","",INDEX('Imposed Load'!$C$16:$C$68,MATCH(B133,'Imposed Load'!$A$16:$A$68,0))),""))</f>
        <v/>
      </c>
      <c r="F133" s="31"/>
      <c r="G133" s="31"/>
      <c r="H133" s="216" t="str">
        <f t="shared" si="28"/>
        <v/>
      </c>
      <c r="I133" s="226" t="str">
        <f t="shared" si="29"/>
        <v/>
      </c>
      <c r="J133" s="216" t="str">
        <f t="shared" si="30"/>
        <v/>
      </c>
      <c r="K133" s="218" t="str">
        <f t="shared" si="31"/>
        <v/>
      </c>
      <c r="M133" s="15"/>
      <c r="N133" s="15"/>
      <c r="O133" s="15"/>
      <c r="P133" s="15"/>
      <c r="Q133" s="15"/>
    </row>
    <row r="134" spans="1:17" ht="28.05" customHeight="1">
      <c r="A134" s="40"/>
      <c r="B134" s="41"/>
      <c r="C134" s="224" t="str">
        <f t="shared" ref="C134:C165" si="32">IF(A134="","",10)</f>
        <v/>
      </c>
      <c r="D134" s="31"/>
      <c r="E134" s="224" t="str">
        <f>IF(B134="","",IFERROR(IF(INDEX('Imposed Load'!$B$16:$B$68,MATCH(B134,'Imposed Load'!$A$16:$A$68,0))="LL-SPECIAL","",INDEX('Imposed Load'!$C$16:$C$68,MATCH(B134,'Imposed Load'!$A$16:$A$68,0))),""))</f>
        <v/>
      </c>
      <c r="F134" s="31"/>
      <c r="G134" s="31"/>
      <c r="H134" s="216" t="str">
        <f t="shared" ref="H134:H165" si="33">IF(OR(F134="",G134=""),"",F134*G134)</f>
        <v/>
      </c>
      <c r="I134" s="226" t="str">
        <f t="shared" ref="I134:I165" si="34">IF(A134="","",1)</f>
        <v/>
      </c>
      <c r="J134" s="216" t="str">
        <f t="shared" ref="J134:J165" si="35">IF(K134&lt;&gt;"OK","",H134*I134*(1.4*(C134+D134)+1.6*E134))</f>
        <v/>
      </c>
      <c r="K134" s="218" t="str">
        <f t="shared" ref="K134:K165" si="36">IF(AND(A134="",B134="",F134="",G134=""),"",IF(OR(COUNTIF($O$5:$O$104,A134)&lt;&gt;1,B134="",COUNT(C134:G134,I134)&lt;&gt;6,MIN(C134:E134)&lt;0,F134&lt;=0,G134&lt;=0,I134&lt;=0,MOD(I134,1)&lt;&gt;0),"INPUT REQUIRED","OK"))</f>
        <v/>
      </c>
      <c r="M134" s="15"/>
      <c r="N134" s="15"/>
      <c r="O134" s="15"/>
      <c r="P134" s="15"/>
      <c r="Q134" s="15"/>
    </row>
    <row r="135" spans="1:17" ht="28.05" customHeight="1">
      <c r="A135" s="40"/>
      <c r="B135" s="41"/>
      <c r="C135" s="224" t="str">
        <f t="shared" si="32"/>
        <v/>
      </c>
      <c r="D135" s="31"/>
      <c r="E135" s="224" t="str">
        <f>IF(B135="","",IFERROR(IF(INDEX('Imposed Load'!$B$16:$B$68,MATCH(B135,'Imposed Load'!$A$16:$A$68,0))="LL-SPECIAL","",INDEX('Imposed Load'!$C$16:$C$68,MATCH(B135,'Imposed Load'!$A$16:$A$68,0))),""))</f>
        <v/>
      </c>
      <c r="F135" s="31"/>
      <c r="G135" s="31"/>
      <c r="H135" s="216" t="str">
        <f t="shared" si="33"/>
        <v/>
      </c>
      <c r="I135" s="226" t="str">
        <f t="shared" si="34"/>
        <v/>
      </c>
      <c r="J135" s="216" t="str">
        <f t="shared" si="35"/>
        <v/>
      </c>
      <c r="K135" s="218" t="str">
        <f t="shared" si="36"/>
        <v/>
      </c>
      <c r="M135" s="15"/>
      <c r="N135" s="15"/>
      <c r="O135" s="15"/>
      <c r="P135" s="15"/>
      <c r="Q135" s="15"/>
    </row>
    <row r="136" spans="1:17" ht="28.05" customHeight="1">
      <c r="A136" s="40"/>
      <c r="B136" s="41"/>
      <c r="C136" s="224" t="str">
        <f t="shared" si="32"/>
        <v/>
      </c>
      <c r="D136" s="31"/>
      <c r="E136" s="224" t="str">
        <f>IF(B136="","",IFERROR(IF(INDEX('Imposed Load'!$B$16:$B$68,MATCH(B136,'Imposed Load'!$A$16:$A$68,0))="LL-SPECIAL","",INDEX('Imposed Load'!$C$16:$C$68,MATCH(B136,'Imposed Load'!$A$16:$A$68,0))),""))</f>
        <v/>
      </c>
      <c r="F136" s="31"/>
      <c r="G136" s="31"/>
      <c r="H136" s="216" t="str">
        <f t="shared" si="33"/>
        <v/>
      </c>
      <c r="I136" s="226" t="str">
        <f t="shared" si="34"/>
        <v/>
      </c>
      <c r="J136" s="216" t="str">
        <f t="shared" si="35"/>
        <v/>
      </c>
      <c r="K136" s="218" t="str">
        <f t="shared" si="36"/>
        <v/>
      </c>
      <c r="M136" s="15"/>
      <c r="N136" s="15"/>
      <c r="O136" s="15"/>
      <c r="P136" s="15"/>
      <c r="Q136" s="15"/>
    </row>
    <row r="137" spans="1:17" ht="28.05" customHeight="1">
      <c r="A137" s="40"/>
      <c r="B137" s="41"/>
      <c r="C137" s="224" t="str">
        <f t="shared" si="32"/>
        <v/>
      </c>
      <c r="D137" s="31"/>
      <c r="E137" s="224" t="str">
        <f>IF(B137="","",IFERROR(IF(INDEX('Imposed Load'!$B$16:$B$68,MATCH(B137,'Imposed Load'!$A$16:$A$68,0))="LL-SPECIAL","",INDEX('Imposed Load'!$C$16:$C$68,MATCH(B137,'Imposed Load'!$A$16:$A$68,0))),""))</f>
        <v/>
      </c>
      <c r="F137" s="31"/>
      <c r="G137" s="31"/>
      <c r="H137" s="216" t="str">
        <f t="shared" si="33"/>
        <v/>
      </c>
      <c r="I137" s="226" t="str">
        <f t="shared" si="34"/>
        <v/>
      </c>
      <c r="J137" s="216" t="str">
        <f t="shared" si="35"/>
        <v/>
      </c>
      <c r="K137" s="218" t="str">
        <f t="shared" si="36"/>
        <v/>
      </c>
      <c r="M137" s="15"/>
      <c r="N137" s="15"/>
      <c r="O137" s="15"/>
      <c r="P137" s="15"/>
      <c r="Q137" s="15"/>
    </row>
    <row r="138" spans="1:17" ht="28.05" customHeight="1">
      <c r="A138" s="40"/>
      <c r="B138" s="41"/>
      <c r="C138" s="224" t="str">
        <f t="shared" si="32"/>
        <v/>
      </c>
      <c r="D138" s="31"/>
      <c r="E138" s="224" t="str">
        <f>IF(B138="","",IFERROR(IF(INDEX('Imposed Load'!$B$16:$B$68,MATCH(B138,'Imposed Load'!$A$16:$A$68,0))="LL-SPECIAL","",INDEX('Imposed Load'!$C$16:$C$68,MATCH(B138,'Imposed Load'!$A$16:$A$68,0))),""))</f>
        <v/>
      </c>
      <c r="F138" s="31"/>
      <c r="G138" s="31"/>
      <c r="H138" s="216" t="str">
        <f t="shared" si="33"/>
        <v/>
      </c>
      <c r="I138" s="226" t="str">
        <f t="shared" si="34"/>
        <v/>
      </c>
      <c r="J138" s="216" t="str">
        <f t="shared" si="35"/>
        <v/>
      </c>
      <c r="K138" s="218" t="str">
        <f t="shared" si="36"/>
        <v/>
      </c>
      <c r="M138" s="15"/>
      <c r="N138" s="15"/>
      <c r="O138" s="15"/>
      <c r="P138" s="15"/>
      <c r="Q138" s="15"/>
    </row>
    <row r="139" spans="1:17" ht="28.05" customHeight="1">
      <c r="A139" s="40"/>
      <c r="B139" s="41"/>
      <c r="C139" s="224" t="str">
        <f t="shared" si="32"/>
        <v/>
      </c>
      <c r="D139" s="31"/>
      <c r="E139" s="224" t="str">
        <f>IF(B139="","",IFERROR(IF(INDEX('Imposed Load'!$B$16:$B$68,MATCH(B139,'Imposed Load'!$A$16:$A$68,0))="LL-SPECIAL","",INDEX('Imposed Load'!$C$16:$C$68,MATCH(B139,'Imposed Load'!$A$16:$A$68,0))),""))</f>
        <v/>
      </c>
      <c r="F139" s="31"/>
      <c r="G139" s="31"/>
      <c r="H139" s="216" t="str">
        <f t="shared" si="33"/>
        <v/>
      </c>
      <c r="I139" s="226" t="str">
        <f t="shared" si="34"/>
        <v/>
      </c>
      <c r="J139" s="216" t="str">
        <f t="shared" si="35"/>
        <v/>
      </c>
      <c r="K139" s="218" t="str">
        <f t="shared" si="36"/>
        <v/>
      </c>
      <c r="M139" s="15"/>
      <c r="N139" s="15"/>
      <c r="O139" s="15"/>
      <c r="P139" s="15"/>
      <c r="Q139" s="15"/>
    </row>
    <row r="140" spans="1:17" ht="28.05" customHeight="1">
      <c r="A140" s="40"/>
      <c r="B140" s="41"/>
      <c r="C140" s="224" t="str">
        <f t="shared" si="32"/>
        <v/>
      </c>
      <c r="D140" s="31"/>
      <c r="E140" s="224" t="str">
        <f>IF(B140="","",IFERROR(IF(INDEX('Imposed Load'!$B$16:$B$68,MATCH(B140,'Imposed Load'!$A$16:$A$68,0))="LL-SPECIAL","",INDEX('Imposed Load'!$C$16:$C$68,MATCH(B140,'Imposed Load'!$A$16:$A$68,0))),""))</f>
        <v/>
      </c>
      <c r="F140" s="31"/>
      <c r="G140" s="31"/>
      <c r="H140" s="216" t="str">
        <f t="shared" si="33"/>
        <v/>
      </c>
      <c r="I140" s="226" t="str">
        <f t="shared" si="34"/>
        <v/>
      </c>
      <c r="J140" s="216" t="str">
        <f t="shared" si="35"/>
        <v/>
      </c>
      <c r="K140" s="218" t="str">
        <f t="shared" si="36"/>
        <v/>
      </c>
      <c r="M140" s="15"/>
      <c r="N140" s="15"/>
      <c r="O140" s="15"/>
      <c r="P140" s="15"/>
      <c r="Q140" s="15"/>
    </row>
    <row r="141" spans="1:17" ht="28.05" customHeight="1">
      <c r="A141" s="40"/>
      <c r="B141" s="41"/>
      <c r="C141" s="224" t="str">
        <f t="shared" si="32"/>
        <v/>
      </c>
      <c r="D141" s="31"/>
      <c r="E141" s="224" t="str">
        <f>IF(B141="","",IFERROR(IF(INDEX('Imposed Load'!$B$16:$B$68,MATCH(B141,'Imposed Load'!$A$16:$A$68,0))="LL-SPECIAL","",INDEX('Imposed Load'!$C$16:$C$68,MATCH(B141,'Imposed Load'!$A$16:$A$68,0))),""))</f>
        <v/>
      </c>
      <c r="F141" s="31"/>
      <c r="G141" s="31"/>
      <c r="H141" s="216" t="str">
        <f t="shared" si="33"/>
        <v/>
      </c>
      <c r="I141" s="226" t="str">
        <f t="shared" si="34"/>
        <v/>
      </c>
      <c r="J141" s="216" t="str">
        <f t="shared" si="35"/>
        <v/>
      </c>
      <c r="K141" s="218" t="str">
        <f t="shared" si="36"/>
        <v/>
      </c>
      <c r="M141" s="15"/>
      <c r="N141" s="15"/>
      <c r="O141" s="15"/>
      <c r="P141" s="15"/>
      <c r="Q141" s="15"/>
    </row>
    <row r="142" spans="1:17" ht="28.05" customHeight="1">
      <c r="A142" s="40"/>
      <c r="B142" s="41"/>
      <c r="C142" s="224" t="str">
        <f t="shared" si="32"/>
        <v/>
      </c>
      <c r="D142" s="31"/>
      <c r="E142" s="224" t="str">
        <f>IF(B142="","",IFERROR(IF(INDEX('Imposed Load'!$B$16:$B$68,MATCH(B142,'Imposed Load'!$A$16:$A$68,0))="LL-SPECIAL","",INDEX('Imposed Load'!$C$16:$C$68,MATCH(B142,'Imposed Load'!$A$16:$A$68,0))),""))</f>
        <v/>
      </c>
      <c r="F142" s="31"/>
      <c r="G142" s="31"/>
      <c r="H142" s="216" t="str">
        <f t="shared" si="33"/>
        <v/>
      </c>
      <c r="I142" s="226" t="str">
        <f t="shared" si="34"/>
        <v/>
      </c>
      <c r="J142" s="216" t="str">
        <f t="shared" si="35"/>
        <v/>
      </c>
      <c r="K142" s="218" t="str">
        <f t="shared" si="36"/>
        <v/>
      </c>
      <c r="M142" s="15"/>
      <c r="N142" s="15"/>
      <c r="O142" s="15"/>
      <c r="P142" s="15"/>
      <c r="Q142" s="15"/>
    </row>
    <row r="143" spans="1:17" ht="28.05" customHeight="1">
      <c r="A143" s="40"/>
      <c r="B143" s="41"/>
      <c r="C143" s="224" t="str">
        <f t="shared" si="32"/>
        <v/>
      </c>
      <c r="D143" s="31"/>
      <c r="E143" s="224" t="str">
        <f>IF(B143="","",IFERROR(IF(INDEX('Imposed Load'!$B$16:$B$68,MATCH(B143,'Imposed Load'!$A$16:$A$68,0))="LL-SPECIAL","",INDEX('Imposed Load'!$C$16:$C$68,MATCH(B143,'Imposed Load'!$A$16:$A$68,0))),""))</f>
        <v/>
      </c>
      <c r="F143" s="31"/>
      <c r="G143" s="31"/>
      <c r="H143" s="216" t="str">
        <f t="shared" si="33"/>
        <v/>
      </c>
      <c r="I143" s="226" t="str">
        <f t="shared" si="34"/>
        <v/>
      </c>
      <c r="J143" s="216" t="str">
        <f t="shared" si="35"/>
        <v/>
      </c>
      <c r="K143" s="218" t="str">
        <f t="shared" si="36"/>
        <v/>
      </c>
      <c r="M143" s="15"/>
      <c r="N143" s="15"/>
      <c r="O143" s="15"/>
      <c r="P143" s="15"/>
      <c r="Q143" s="15"/>
    </row>
    <row r="144" spans="1:17" ht="28.05" customHeight="1">
      <c r="A144" s="40"/>
      <c r="B144" s="41"/>
      <c r="C144" s="224" t="str">
        <f t="shared" si="32"/>
        <v/>
      </c>
      <c r="D144" s="31"/>
      <c r="E144" s="224" t="str">
        <f>IF(B144="","",IFERROR(IF(INDEX('Imposed Load'!$B$16:$B$68,MATCH(B144,'Imposed Load'!$A$16:$A$68,0))="LL-SPECIAL","",INDEX('Imposed Load'!$C$16:$C$68,MATCH(B144,'Imposed Load'!$A$16:$A$68,0))),""))</f>
        <v/>
      </c>
      <c r="F144" s="31"/>
      <c r="G144" s="31"/>
      <c r="H144" s="216" t="str">
        <f t="shared" si="33"/>
        <v/>
      </c>
      <c r="I144" s="226" t="str">
        <f t="shared" si="34"/>
        <v/>
      </c>
      <c r="J144" s="216" t="str">
        <f t="shared" si="35"/>
        <v/>
      </c>
      <c r="K144" s="218" t="str">
        <f t="shared" si="36"/>
        <v/>
      </c>
      <c r="M144" s="15"/>
      <c r="N144" s="15"/>
      <c r="O144" s="15"/>
      <c r="P144" s="15"/>
      <c r="Q144" s="15"/>
    </row>
    <row r="145" spans="1:17" ht="28.05" customHeight="1">
      <c r="A145" s="40"/>
      <c r="B145" s="41"/>
      <c r="C145" s="224" t="str">
        <f t="shared" si="32"/>
        <v/>
      </c>
      <c r="D145" s="31"/>
      <c r="E145" s="224" t="str">
        <f>IF(B145="","",IFERROR(IF(INDEX('Imposed Load'!$B$16:$B$68,MATCH(B145,'Imposed Load'!$A$16:$A$68,0))="LL-SPECIAL","",INDEX('Imposed Load'!$C$16:$C$68,MATCH(B145,'Imposed Load'!$A$16:$A$68,0))),""))</f>
        <v/>
      </c>
      <c r="F145" s="31"/>
      <c r="G145" s="31"/>
      <c r="H145" s="216" t="str">
        <f t="shared" si="33"/>
        <v/>
      </c>
      <c r="I145" s="226" t="str">
        <f t="shared" si="34"/>
        <v/>
      </c>
      <c r="J145" s="216" t="str">
        <f t="shared" si="35"/>
        <v/>
      </c>
      <c r="K145" s="218" t="str">
        <f t="shared" si="36"/>
        <v/>
      </c>
      <c r="M145" s="15"/>
      <c r="N145" s="15"/>
      <c r="O145" s="15"/>
      <c r="P145" s="15"/>
      <c r="Q145" s="15"/>
    </row>
    <row r="146" spans="1:17" ht="28.05" customHeight="1">
      <c r="A146" s="40"/>
      <c r="B146" s="41"/>
      <c r="C146" s="224" t="str">
        <f t="shared" si="32"/>
        <v/>
      </c>
      <c r="D146" s="31"/>
      <c r="E146" s="224" t="str">
        <f>IF(B146="","",IFERROR(IF(INDEX('Imposed Load'!$B$16:$B$68,MATCH(B146,'Imposed Load'!$A$16:$A$68,0))="LL-SPECIAL","",INDEX('Imposed Load'!$C$16:$C$68,MATCH(B146,'Imposed Load'!$A$16:$A$68,0))),""))</f>
        <v/>
      </c>
      <c r="F146" s="31"/>
      <c r="G146" s="31"/>
      <c r="H146" s="216" t="str">
        <f t="shared" si="33"/>
        <v/>
      </c>
      <c r="I146" s="226" t="str">
        <f t="shared" si="34"/>
        <v/>
      </c>
      <c r="J146" s="216" t="str">
        <f t="shared" si="35"/>
        <v/>
      </c>
      <c r="K146" s="218" t="str">
        <f t="shared" si="36"/>
        <v/>
      </c>
      <c r="M146" s="15"/>
      <c r="N146" s="15"/>
      <c r="O146" s="15"/>
      <c r="P146" s="15"/>
      <c r="Q146" s="15"/>
    </row>
    <row r="147" spans="1:17" ht="28.05" customHeight="1">
      <c r="A147" s="40"/>
      <c r="B147" s="41"/>
      <c r="C147" s="224" t="str">
        <f t="shared" si="32"/>
        <v/>
      </c>
      <c r="D147" s="31"/>
      <c r="E147" s="224" t="str">
        <f>IF(B147="","",IFERROR(IF(INDEX('Imposed Load'!$B$16:$B$68,MATCH(B147,'Imposed Load'!$A$16:$A$68,0))="LL-SPECIAL","",INDEX('Imposed Load'!$C$16:$C$68,MATCH(B147,'Imposed Load'!$A$16:$A$68,0))),""))</f>
        <v/>
      </c>
      <c r="F147" s="31"/>
      <c r="G147" s="31"/>
      <c r="H147" s="216" t="str">
        <f t="shared" si="33"/>
        <v/>
      </c>
      <c r="I147" s="226" t="str">
        <f t="shared" si="34"/>
        <v/>
      </c>
      <c r="J147" s="216" t="str">
        <f t="shared" si="35"/>
        <v/>
      </c>
      <c r="K147" s="218" t="str">
        <f t="shared" si="36"/>
        <v/>
      </c>
      <c r="M147" s="15"/>
      <c r="N147" s="15"/>
      <c r="O147" s="15"/>
      <c r="P147" s="15"/>
      <c r="Q147" s="15"/>
    </row>
    <row r="148" spans="1:17" ht="28.05" customHeight="1">
      <c r="A148" s="40"/>
      <c r="B148" s="41"/>
      <c r="C148" s="224" t="str">
        <f t="shared" si="32"/>
        <v/>
      </c>
      <c r="D148" s="31"/>
      <c r="E148" s="224" t="str">
        <f>IF(B148="","",IFERROR(IF(INDEX('Imposed Load'!$B$16:$B$68,MATCH(B148,'Imposed Load'!$A$16:$A$68,0))="LL-SPECIAL","",INDEX('Imposed Load'!$C$16:$C$68,MATCH(B148,'Imposed Load'!$A$16:$A$68,0))),""))</f>
        <v/>
      </c>
      <c r="F148" s="31"/>
      <c r="G148" s="31"/>
      <c r="H148" s="216" t="str">
        <f t="shared" si="33"/>
        <v/>
      </c>
      <c r="I148" s="226" t="str">
        <f t="shared" si="34"/>
        <v/>
      </c>
      <c r="J148" s="216" t="str">
        <f t="shared" si="35"/>
        <v/>
      </c>
      <c r="K148" s="218" t="str">
        <f t="shared" si="36"/>
        <v/>
      </c>
      <c r="M148" s="15"/>
      <c r="N148" s="15"/>
      <c r="O148" s="15"/>
      <c r="P148" s="15"/>
      <c r="Q148" s="15"/>
    </row>
    <row r="149" spans="1:17" ht="28.05" customHeight="1">
      <c r="A149" s="40"/>
      <c r="B149" s="41"/>
      <c r="C149" s="224" t="str">
        <f t="shared" si="32"/>
        <v/>
      </c>
      <c r="D149" s="31"/>
      <c r="E149" s="224" t="str">
        <f>IF(B149="","",IFERROR(IF(INDEX('Imposed Load'!$B$16:$B$68,MATCH(B149,'Imposed Load'!$A$16:$A$68,0))="LL-SPECIAL","",INDEX('Imposed Load'!$C$16:$C$68,MATCH(B149,'Imposed Load'!$A$16:$A$68,0))),""))</f>
        <v/>
      </c>
      <c r="F149" s="31"/>
      <c r="G149" s="31"/>
      <c r="H149" s="216" t="str">
        <f t="shared" si="33"/>
        <v/>
      </c>
      <c r="I149" s="226" t="str">
        <f t="shared" si="34"/>
        <v/>
      </c>
      <c r="J149" s="216" t="str">
        <f t="shared" si="35"/>
        <v/>
      </c>
      <c r="K149" s="218" t="str">
        <f t="shared" si="36"/>
        <v/>
      </c>
      <c r="M149" s="15"/>
      <c r="N149" s="15"/>
      <c r="O149" s="15"/>
      <c r="P149" s="15"/>
      <c r="Q149" s="15"/>
    </row>
    <row r="150" spans="1:17" ht="28.05" customHeight="1">
      <c r="A150" s="40"/>
      <c r="B150" s="41"/>
      <c r="C150" s="224" t="str">
        <f t="shared" si="32"/>
        <v/>
      </c>
      <c r="D150" s="31"/>
      <c r="E150" s="224" t="str">
        <f>IF(B150="","",IFERROR(IF(INDEX('Imposed Load'!$B$16:$B$68,MATCH(B150,'Imposed Load'!$A$16:$A$68,0))="LL-SPECIAL","",INDEX('Imposed Load'!$C$16:$C$68,MATCH(B150,'Imposed Load'!$A$16:$A$68,0))),""))</f>
        <v/>
      </c>
      <c r="F150" s="31"/>
      <c r="G150" s="31"/>
      <c r="H150" s="216" t="str">
        <f t="shared" si="33"/>
        <v/>
      </c>
      <c r="I150" s="226" t="str">
        <f t="shared" si="34"/>
        <v/>
      </c>
      <c r="J150" s="216" t="str">
        <f t="shared" si="35"/>
        <v/>
      </c>
      <c r="K150" s="218" t="str">
        <f t="shared" si="36"/>
        <v/>
      </c>
      <c r="M150" s="15"/>
      <c r="N150" s="15"/>
      <c r="O150" s="15"/>
      <c r="P150" s="15"/>
      <c r="Q150" s="15"/>
    </row>
    <row r="151" spans="1:17" ht="28.05" customHeight="1">
      <c r="A151" s="40"/>
      <c r="B151" s="41"/>
      <c r="C151" s="224" t="str">
        <f t="shared" si="32"/>
        <v/>
      </c>
      <c r="D151" s="31"/>
      <c r="E151" s="224" t="str">
        <f>IF(B151="","",IFERROR(IF(INDEX('Imposed Load'!$B$16:$B$68,MATCH(B151,'Imposed Load'!$A$16:$A$68,0))="LL-SPECIAL","",INDEX('Imposed Load'!$C$16:$C$68,MATCH(B151,'Imposed Load'!$A$16:$A$68,0))),""))</f>
        <v/>
      </c>
      <c r="F151" s="31"/>
      <c r="G151" s="31"/>
      <c r="H151" s="216" t="str">
        <f t="shared" si="33"/>
        <v/>
      </c>
      <c r="I151" s="226" t="str">
        <f t="shared" si="34"/>
        <v/>
      </c>
      <c r="J151" s="216" t="str">
        <f t="shared" si="35"/>
        <v/>
      </c>
      <c r="K151" s="218" t="str">
        <f t="shared" si="36"/>
        <v/>
      </c>
      <c r="M151" s="15"/>
      <c r="N151" s="15"/>
      <c r="O151" s="15"/>
      <c r="P151" s="15"/>
      <c r="Q151" s="15"/>
    </row>
    <row r="152" spans="1:17" ht="28.05" customHeight="1">
      <c r="A152" s="40"/>
      <c r="B152" s="41"/>
      <c r="C152" s="224" t="str">
        <f t="shared" si="32"/>
        <v/>
      </c>
      <c r="D152" s="31"/>
      <c r="E152" s="224" t="str">
        <f>IF(B152="","",IFERROR(IF(INDEX('Imposed Load'!$B$16:$B$68,MATCH(B152,'Imposed Load'!$A$16:$A$68,0))="LL-SPECIAL","",INDEX('Imposed Load'!$C$16:$C$68,MATCH(B152,'Imposed Load'!$A$16:$A$68,0))),""))</f>
        <v/>
      </c>
      <c r="F152" s="31"/>
      <c r="G152" s="31"/>
      <c r="H152" s="216" t="str">
        <f t="shared" si="33"/>
        <v/>
      </c>
      <c r="I152" s="226" t="str">
        <f t="shared" si="34"/>
        <v/>
      </c>
      <c r="J152" s="216" t="str">
        <f t="shared" si="35"/>
        <v/>
      </c>
      <c r="K152" s="218" t="str">
        <f t="shared" si="36"/>
        <v/>
      </c>
      <c r="M152" s="15"/>
      <c r="N152" s="15"/>
      <c r="O152" s="15"/>
      <c r="P152" s="15"/>
      <c r="Q152" s="15"/>
    </row>
    <row r="153" spans="1:17" ht="28.05" customHeight="1">
      <c r="A153" s="40"/>
      <c r="B153" s="41"/>
      <c r="C153" s="224" t="str">
        <f t="shared" si="32"/>
        <v/>
      </c>
      <c r="D153" s="31"/>
      <c r="E153" s="224" t="str">
        <f>IF(B153="","",IFERROR(IF(INDEX('Imposed Load'!$B$16:$B$68,MATCH(B153,'Imposed Load'!$A$16:$A$68,0))="LL-SPECIAL","",INDEX('Imposed Load'!$C$16:$C$68,MATCH(B153,'Imposed Load'!$A$16:$A$68,0))),""))</f>
        <v/>
      </c>
      <c r="F153" s="31"/>
      <c r="G153" s="31"/>
      <c r="H153" s="216" t="str">
        <f t="shared" si="33"/>
        <v/>
      </c>
      <c r="I153" s="226" t="str">
        <f t="shared" si="34"/>
        <v/>
      </c>
      <c r="J153" s="216" t="str">
        <f t="shared" si="35"/>
        <v/>
      </c>
      <c r="K153" s="218" t="str">
        <f t="shared" si="36"/>
        <v/>
      </c>
      <c r="M153" s="15"/>
      <c r="N153" s="15"/>
      <c r="O153" s="15"/>
      <c r="P153" s="15"/>
      <c r="Q153" s="15"/>
    </row>
    <row r="154" spans="1:17" ht="28.05" customHeight="1">
      <c r="A154" s="40"/>
      <c r="B154" s="41"/>
      <c r="C154" s="224" t="str">
        <f t="shared" si="32"/>
        <v/>
      </c>
      <c r="D154" s="31"/>
      <c r="E154" s="224" t="str">
        <f>IF(B154="","",IFERROR(IF(INDEX('Imposed Load'!$B$16:$B$68,MATCH(B154,'Imposed Load'!$A$16:$A$68,0))="LL-SPECIAL","",INDEX('Imposed Load'!$C$16:$C$68,MATCH(B154,'Imposed Load'!$A$16:$A$68,0))),""))</f>
        <v/>
      </c>
      <c r="F154" s="31"/>
      <c r="G154" s="31"/>
      <c r="H154" s="216" t="str">
        <f t="shared" si="33"/>
        <v/>
      </c>
      <c r="I154" s="226" t="str">
        <f t="shared" si="34"/>
        <v/>
      </c>
      <c r="J154" s="216" t="str">
        <f t="shared" si="35"/>
        <v/>
      </c>
      <c r="K154" s="218" t="str">
        <f t="shared" si="36"/>
        <v/>
      </c>
      <c r="M154" s="15"/>
      <c r="N154" s="15"/>
      <c r="O154" s="15"/>
      <c r="P154" s="15"/>
      <c r="Q154" s="15"/>
    </row>
    <row r="155" spans="1:17" ht="28.05" customHeight="1">
      <c r="A155" s="40"/>
      <c r="B155" s="41"/>
      <c r="C155" s="224" t="str">
        <f t="shared" si="32"/>
        <v/>
      </c>
      <c r="D155" s="31"/>
      <c r="E155" s="224" t="str">
        <f>IF(B155="","",IFERROR(IF(INDEX('Imposed Load'!$B$16:$B$68,MATCH(B155,'Imposed Load'!$A$16:$A$68,0))="LL-SPECIAL","",INDEX('Imposed Load'!$C$16:$C$68,MATCH(B155,'Imposed Load'!$A$16:$A$68,0))),""))</f>
        <v/>
      </c>
      <c r="F155" s="31"/>
      <c r="G155" s="31"/>
      <c r="H155" s="216" t="str">
        <f t="shared" si="33"/>
        <v/>
      </c>
      <c r="I155" s="226" t="str">
        <f t="shared" si="34"/>
        <v/>
      </c>
      <c r="J155" s="216" t="str">
        <f t="shared" si="35"/>
        <v/>
      </c>
      <c r="K155" s="218" t="str">
        <f t="shared" si="36"/>
        <v/>
      </c>
      <c r="M155" s="15"/>
      <c r="N155" s="15"/>
      <c r="O155" s="15"/>
      <c r="P155" s="15"/>
      <c r="Q155" s="15"/>
    </row>
    <row r="156" spans="1:17" ht="28.05" customHeight="1">
      <c r="A156" s="40"/>
      <c r="B156" s="41"/>
      <c r="C156" s="224" t="str">
        <f t="shared" si="32"/>
        <v/>
      </c>
      <c r="D156" s="31"/>
      <c r="E156" s="224" t="str">
        <f>IF(B156="","",IFERROR(IF(INDEX('Imposed Load'!$B$16:$B$68,MATCH(B156,'Imposed Load'!$A$16:$A$68,0))="LL-SPECIAL","",INDEX('Imposed Load'!$C$16:$C$68,MATCH(B156,'Imposed Load'!$A$16:$A$68,0))),""))</f>
        <v/>
      </c>
      <c r="F156" s="31"/>
      <c r="G156" s="31"/>
      <c r="H156" s="216" t="str">
        <f t="shared" si="33"/>
        <v/>
      </c>
      <c r="I156" s="226" t="str">
        <f t="shared" si="34"/>
        <v/>
      </c>
      <c r="J156" s="216" t="str">
        <f t="shared" si="35"/>
        <v/>
      </c>
      <c r="K156" s="218" t="str">
        <f t="shared" si="36"/>
        <v/>
      </c>
      <c r="M156" s="15"/>
      <c r="N156" s="15"/>
      <c r="O156" s="15"/>
      <c r="P156" s="15"/>
      <c r="Q156" s="15"/>
    </row>
    <row r="157" spans="1:17" ht="28.05" customHeight="1">
      <c r="A157" s="40"/>
      <c r="B157" s="41"/>
      <c r="C157" s="224" t="str">
        <f t="shared" si="32"/>
        <v/>
      </c>
      <c r="D157" s="31"/>
      <c r="E157" s="224" t="str">
        <f>IF(B157="","",IFERROR(IF(INDEX('Imposed Load'!$B$16:$B$68,MATCH(B157,'Imposed Load'!$A$16:$A$68,0))="LL-SPECIAL","",INDEX('Imposed Load'!$C$16:$C$68,MATCH(B157,'Imposed Load'!$A$16:$A$68,0))),""))</f>
        <v/>
      </c>
      <c r="F157" s="31"/>
      <c r="G157" s="31"/>
      <c r="H157" s="216" t="str">
        <f t="shared" si="33"/>
        <v/>
      </c>
      <c r="I157" s="226" t="str">
        <f t="shared" si="34"/>
        <v/>
      </c>
      <c r="J157" s="216" t="str">
        <f t="shared" si="35"/>
        <v/>
      </c>
      <c r="K157" s="218" t="str">
        <f t="shared" si="36"/>
        <v/>
      </c>
      <c r="M157" s="15"/>
      <c r="N157" s="15"/>
      <c r="O157" s="15"/>
      <c r="P157" s="15"/>
      <c r="Q157" s="15"/>
    </row>
    <row r="158" spans="1:17" ht="28.05" customHeight="1">
      <c r="A158" s="40"/>
      <c r="B158" s="41"/>
      <c r="C158" s="224" t="str">
        <f t="shared" si="32"/>
        <v/>
      </c>
      <c r="D158" s="31"/>
      <c r="E158" s="224" t="str">
        <f>IF(B158="","",IFERROR(IF(INDEX('Imposed Load'!$B$16:$B$68,MATCH(B158,'Imposed Load'!$A$16:$A$68,0))="LL-SPECIAL","",INDEX('Imposed Load'!$C$16:$C$68,MATCH(B158,'Imposed Load'!$A$16:$A$68,0))),""))</f>
        <v/>
      </c>
      <c r="F158" s="31"/>
      <c r="G158" s="31"/>
      <c r="H158" s="216" t="str">
        <f t="shared" si="33"/>
        <v/>
      </c>
      <c r="I158" s="226" t="str">
        <f t="shared" si="34"/>
        <v/>
      </c>
      <c r="J158" s="216" t="str">
        <f t="shared" si="35"/>
        <v/>
      </c>
      <c r="K158" s="218" t="str">
        <f t="shared" si="36"/>
        <v/>
      </c>
      <c r="M158" s="15"/>
      <c r="N158" s="15"/>
      <c r="O158" s="15"/>
      <c r="P158" s="15"/>
      <c r="Q158" s="15"/>
    </row>
    <row r="159" spans="1:17" ht="28.05" customHeight="1">
      <c r="A159" s="40"/>
      <c r="B159" s="41"/>
      <c r="C159" s="224" t="str">
        <f t="shared" si="32"/>
        <v/>
      </c>
      <c r="D159" s="31"/>
      <c r="E159" s="224" t="str">
        <f>IF(B159="","",IFERROR(IF(INDEX('Imposed Load'!$B$16:$B$68,MATCH(B159,'Imposed Load'!$A$16:$A$68,0))="LL-SPECIAL","",INDEX('Imposed Load'!$C$16:$C$68,MATCH(B159,'Imposed Load'!$A$16:$A$68,0))),""))</f>
        <v/>
      </c>
      <c r="F159" s="31"/>
      <c r="G159" s="31"/>
      <c r="H159" s="216" t="str">
        <f t="shared" si="33"/>
        <v/>
      </c>
      <c r="I159" s="226" t="str">
        <f t="shared" si="34"/>
        <v/>
      </c>
      <c r="J159" s="216" t="str">
        <f t="shared" si="35"/>
        <v/>
      </c>
      <c r="K159" s="218" t="str">
        <f t="shared" si="36"/>
        <v/>
      </c>
      <c r="M159" s="15"/>
      <c r="N159" s="15"/>
      <c r="O159" s="15"/>
      <c r="P159" s="15"/>
      <c r="Q159" s="15"/>
    </row>
    <row r="160" spans="1:17" ht="28.05" customHeight="1">
      <c r="A160" s="40"/>
      <c r="B160" s="41"/>
      <c r="C160" s="224" t="str">
        <f t="shared" si="32"/>
        <v/>
      </c>
      <c r="D160" s="31"/>
      <c r="E160" s="224" t="str">
        <f>IF(B160="","",IFERROR(IF(INDEX('Imposed Load'!$B$16:$B$68,MATCH(B160,'Imposed Load'!$A$16:$A$68,0))="LL-SPECIAL","",INDEX('Imposed Load'!$C$16:$C$68,MATCH(B160,'Imposed Load'!$A$16:$A$68,0))),""))</f>
        <v/>
      </c>
      <c r="F160" s="31"/>
      <c r="G160" s="31"/>
      <c r="H160" s="216" t="str">
        <f t="shared" si="33"/>
        <v/>
      </c>
      <c r="I160" s="226" t="str">
        <f t="shared" si="34"/>
        <v/>
      </c>
      <c r="J160" s="216" t="str">
        <f t="shared" si="35"/>
        <v/>
      </c>
      <c r="K160" s="218" t="str">
        <f t="shared" si="36"/>
        <v/>
      </c>
      <c r="M160" s="15"/>
      <c r="N160" s="15"/>
      <c r="O160" s="15"/>
      <c r="P160" s="15"/>
      <c r="Q160" s="15"/>
    </row>
    <row r="161" spans="1:17" ht="28.05" customHeight="1">
      <c r="A161" s="40"/>
      <c r="B161" s="41"/>
      <c r="C161" s="224" t="str">
        <f t="shared" si="32"/>
        <v/>
      </c>
      <c r="D161" s="31"/>
      <c r="E161" s="224" t="str">
        <f>IF(B161="","",IFERROR(IF(INDEX('Imposed Load'!$B$16:$B$68,MATCH(B161,'Imposed Load'!$A$16:$A$68,0))="LL-SPECIAL","",INDEX('Imposed Load'!$C$16:$C$68,MATCH(B161,'Imposed Load'!$A$16:$A$68,0))),""))</f>
        <v/>
      </c>
      <c r="F161" s="31"/>
      <c r="G161" s="31"/>
      <c r="H161" s="216" t="str">
        <f t="shared" si="33"/>
        <v/>
      </c>
      <c r="I161" s="226" t="str">
        <f t="shared" si="34"/>
        <v/>
      </c>
      <c r="J161" s="216" t="str">
        <f t="shared" si="35"/>
        <v/>
      </c>
      <c r="K161" s="218" t="str">
        <f t="shared" si="36"/>
        <v/>
      </c>
      <c r="M161" s="15"/>
      <c r="N161" s="15"/>
      <c r="O161" s="15"/>
      <c r="P161" s="15"/>
      <c r="Q161" s="15"/>
    </row>
    <row r="162" spans="1:17" ht="28.05" customHeight="1">
      <c r="A162" s="40"/>
      <c r="B162" s="41"/>
      <c r="C162" s="224" t="str">
        <f t="shared" si="32"/>
        <v/>
      </c>
      <c r="D162" s="31"/>
      <c r="E162" s="224" t="str">
        <f>IF(B162="","",IFERROR(IF(INDEX('Imposed Load'!$B$16:$B$68,MATCH(B162,'Imposed Load'!$A$16:$A$68,0))="LL-SPECIAL","",INDEX('Imposed Load'!$C$16:$C$68,MATCH(B162,'Imposed Load'!$A$16:$A$68,0))),""))</f>
        <v/>
      </c>
      <c r="F162" s="31"/>
      <c r="G162" s="31"/>
      <c r="H162" s="216" t="str">
        <f t="shared" si="33"/>
        <v/>
      </c>
      <c r="I162" s="226" t="str">
        <f t="shared" si="34"/>
        <v/>
      </c>
      <c r="J162" s="216" t="str">
        <f t="shared" si="35"/>
        <v/>
      </c>
      <c r="K162" s="218" t="str">
        <f t="shared" si="36"/>
        <v/>
      </c>
      <c r="M162" s="15"/>
      <c r="N162" s="15"/>
      <c r="O162" s="15"/>
      <c r="P162" s="15"/>
      <c r="Q162" s="15"/>
    </row>
    <row r="163" spans="1:17" ht="28.05" customHeight="1">
      <c r="A163" s="40"/>
      <c r="B163" s="41"/>
      <c r="C163" s="224" t="str">
        <f t="shared" si="32"/>
        <v/>
      </c>
      <c r="D163" s="31"/>
      <c r="E163" s="224" t="str">
        <f>IF(B163="","",IFERROR(IF(INDEX('Imposed Load'!$B$16:$B$68,MATCH(B163,'Imposed Load'!$A$16:$A$68,0))="LL-SPECIAL","",INDEX('Imposed Load'!$C$16:$C$68,MATCH(B163,'Imposed Load'!$A$16:$A$68,0))),""))</f>
        <v/>
      </c>
      <c r="F163" s="31"/>
      <c r="G163" s="31"/>
      <c r="H163" s="216" t="str">
        <f t="shared" si="33"/>
        <v/>
      </c>
      <c r="I163" s="226" t="str">
        <f t="shared" si="34"/>
        <v/>
      </c>
      <c r="J163" s="216" t="str">
        <f t="shared" si="35"/>
        <v/>
      </c>
      <c r="K163" s="218" t="str">
        <f t="shared" si="36"/>
        <v/>
      </c>
      <c r="M163" s="15"/>
      <c r="N163" s="15"/>
      <c r="O163" s="15"/>
      <c r="P163" s="15"/>
      <c r="Q163" s="15"/>
    </row>
    <row r="164" spans="1:17" ht="28.05" customHeight="1">
      <c r="A164" s="40"/>
      <c r="B164" s="41"/>
      <c r="C164" s="224" t="str">
        <f t="shared" si="32"/>
        <v/>
      </c>
      <c r="D164" s="31"/>
      <c r="E164" s="224" t="str">
        <f>IF(B164="","",IFERROR(IF(INDEX('Imposed Load'!$B$16:$B$68,MATCH(B164,'Imposed Load'!$A$16:$A$68,0))="LL-SPECIAL","",INDEX('Imposed Load'!$C$16:$C$68,MATCH(B164,'Imposed Load'!$A$16:$A$68,0))),""))</f>
        <v/>
      </c>
      <c r="F164" s="31"/>
      <c r="G164" s="31"/>
      <c r="H164" s="216" t="str">
        <f t="shared" si="33"/>
        <v/>
      </c>
      <c r="I164" s="226" t="str">
        <f t="shared" si="34"/>
        <v/>
      </c>
      <c r="J164" s="216" t="str">
        <f t="shared" si="35"/>
        <v/>
      </c>
      <c r="K164" s="218" t="str">
        <f t="shared" si="36"/>
        <v/>
      </c>
      <c r="M164" s="15"/>
      <c r="N164" s="15"/>
      <c r="O164" s="15"/>
      <c r="P164" s="15"/>
      <c r="Q164" s="15"/>
    </row>
    <row r="165" spans="1:17" ht="28.05" customHeight="1">
      <c r="A165" s="40"/>
      <c r="B165" s="41"/>
      <c r="C165" s="224" t="str">
        <f t="shared" si="32"/>
        <v/>
      </c>
      <c r="D165" s="31"/>
      <c r="E165" s="224" t="str">
        <f>IF(B165="","",IFERROR(IF(INDEX('Imposed Load'!$B$16:$B$68,MATCH(B165,'Imposed Load'!$A$16:$A$68,0))="LL-SPECIAL","",INDEX('Imposed Load'!$C$16:$C$68,MATCH(B165,'Imposed Load'!$A$16:$A$68,0))),""))</f>
        <v/>
      </c>
      <c r="F165" s="31"/>
      <c r="G165" s="31"/>
      <c r="H165" s="216" t="str">
        <f t="shared" si="33"/>
        <v/>
      </c>
      <c r="I165" s="226" t="str">
        <f t="shared" si="34"/>
        <v/>
      </c>
      <c r="J165" s="216" t="str">
        <f t="shared" si="35"/>
        <v/>
      </c>
      <c r="K165" s="218" t="str">
        <f t="shared" si="36"/>
        <v/>
      </c>
      <c r="M165" s="15"/>
      <c r="N165" s="15"/>
      <c r="O165" s="15"/>
      <c r="P165" s="15"/>
      <c r="Q165" s="15"/>
    </row>
    <row r="166" spans="1:17" ht="28.05" customHeight="1">
      <c r="A166" s="40"/>
      <c r="B166" s="41"/>
      <c r="C166" s="224" t="str">
        <f t="shared" ref="C166:C197" si="37">IF(A166="","",10)</f>
        <v/>
      </c>
      <c r="D166" s="31"/>
      <c r="E166" s="224" t="str">
        <f>IF(B166="","",IFERROR(IF(INDEX('Imposed Load'!$B$16:$B$68,MATCH(B166,'Imposed Load'!$A$16:$A$68,0))="LL-SPECIAL","",INDEX('Imposed Load'!$C$16:$C$68,MATCH(B166,'Imposed Load'!$A$16:$A$68,0))),""))</f>
        <v/>
      </c>
      <c r="F166" s="31"/>
      <c r="G166" s="31"/>
      <c r="H166" s="216" t="str">
        <f t="shared" ref="H166:H197" si="38">IF(OR(F166="",G166=""),"",F166*G166)</f>
        <v/>
      </c>
      <c r="I166" s="226" t="str">
        <f t="shared" ref="I166:I197" si="39">IF(A166="","",1)</f>
        <v/>
      </c>
      <c r="J166" s="216" t="str">
        <f t="shared" ref="J166:J197" si="40">IF(K166&lt;&gt;"OK","",H166*I166*(1.4*(C166+D166)+1.6*E166))</f>
        <v/>
      </c>
      <c r="K166" s="218" t="str">
        <f t="shared" ref="K166:K197" si="41">IF(AND(A166="",B166="",F166="",G166=""),"",IF(OR(COUNTIF($O$5:$O$104,A166)&lt;&gt;1,B166="",COUNT(C166:G166,I166)&lt;&gt;6,MIN(C166:E166)&lt;0,F166&lt;=0,G166&lt;=0,I166&lt;=0,MOD(I166,1)&lt;&gt;0),"INPUT REQUIRED","OK"))</f>
        <v/>
      </c>
      <c r="M166" s="15"/>
      <c r="N166" s="15"/>
      <c r="O166" s="15"/>
      <c r="P166" s="15"/>
      <c r="Q166" s="15"/>
    </row>
    <row r="167" spans="1:17" ht="28.05" customHeight="1">
      <c r="A167" s="40"/>
      <c r="B167" s="41"/>
      <c r="C167" s="224" t="str">
        <f t="shared" si="37"/>
        <v/>
      </c>
      <c r="D167" s="31"/>
      <c r="E167" s="224" t="str">
        <f>IF(B167="","",IFERROR(IF(INDEX('Imposed Load'!$B$16:$B$68,MATCH(B167,'Imposed Load'!$A$16:$A$68,0))="LL-SPECIAL","",INDEX('Imposed Load'!$C$16:$C$68,MATCH(B167,'Imposed Load'!$A$16:$A$68,0))),""))</f>
        <v/>
      </c>
      <c r="F167" s="31"/>
      <c r="G167" s="31"/>
      <c r="H167" s="216" t="str">
        <f t="shared" si="38"/>
        <v/>
      </c>
      <c r="I167" s="226" t="str">
        <f t="shared" si="39"/>
        <v/>
      </c>
      <c r="J167" s="216" t="str">
        <f t="shared" si="40"/>
        <v/>
      </c>
      <c r="K167" s="218" t="str">
        <f t="shared" si="41"/>
        <v/>
      </c>
      <c r="M167" s="15"/>
      <c r="N167" s="15"/>
      <c r="O167" s="15"/>
      <c r="P167" s="15"/>
      <c r="Q167" s="15"/>
    </row>
    <row r="168" spans="1:17" ht="28.05" customHeight="1">
      <c r="A168" s="40"/>
      <c r="B168" s="41"/>
      <c r="C168" s="224" t="str">
        <f t="shared" si="37"/>
        <v/>
      </c>
      <c r="D168" s="31"/>
      <c r="E168" s="224" t="str">
        <f>IF(B168="","",IFERROR(IF(INDEX('Imposed Load'!$B$16:$B$68,MATCH(B168,'Imposed Load'!$A$16:$A$68,0))="LL-SPECIAL","",INDEX('Imposed Load'!$C$16:$C$68,MATCH(B168,'Imposed Load'!$A$16:$A$68,0))),""))</f>
        <v/>
      </c>
      <c r="F168" s="31"/>
      <c r="G168" s="31"/>
      <c r="H168" s="216" t="str">
        <f t="shared" si="38"/>
        <v/>
      </c>
      <c r="I168" s="226" t="str">
        <f t="shared" si="39"/>
        <v/>
      </c>
      <c r="J168" s="216" t="str">
        <f t="shared" si="40"/>
        <v/>
      </c>
      <c r="K168" s="218" t="str">
        <f t="shared" si="41"/>
        <v/>
      </c>
      <c r="M168" s="15"/>
      <c r="N168" s="15"/>
      <c r="O168" s="15"/>
      <c r="P168" s="15"/>
      <c r="Q168" s="15"/>
    </row>
    <row r="169" spans="1:17" ht="28.05" customHeight="1">
      <c r="A169" s="40"/>
      <c r="B169" s="41"/>
      <c r="C169" s="224" t="str">
        <f t="shared" si="37"/>
        <v/>
      </c>
      <c r="D169" s="31"/>
      <c r="E169" s="224" t="str">
        <f>IF(B169="","",IFERROR(IF(INDEX('Imposed Load'!$B$16:$B$68,MATCH(B169,'Imposed Load'!$A$16:$A$68,0))="LL-SPECIAL","",INDEX('Imposed Load'!$C$16:$C$68,MATCH(B169,'Imposed Load'!$A$16:$A$68,0))),""))</f>
        <v/>
      </c>
      <c r="F169" s="31"/>
      <c r="G169" s="31"/>
      <c r="H169" s="216" t="str">
        <f t="shared" si="38"/>
        <v/>
      </c>
      <c r="I169" s="226" t="str">
        <f t="shared" si="39"/>
        <v/>
      </c>
      <c r="J169" s="216" t="str">
        <f t="shared" si="40"/>
        <v/>
      </c>
      <c r="K169" s="218" t="str">
        <f t="shared" si="41"/>
        <v/>
      </c>
      <c r="M169" s="15"/>
      <c r="N169" s="15"/>
      <c r="O169" s="15"/>
      <c r="P169" s="15"/>
      <c r="Q169" s="15"/>
    </row>
    <row r="170" spans="1:17" ht="28.05" customHeight="1">
      <c r="A170" s="40"/>
      <c r="B170" s="41"/>
      <c r="C170" s="224" t="str">
        <f t="shared" si="37"/>
        <v/>
      </c>
      <c r="D170" s="31"/>
      <c r="E170" s="224" t="str">
        <f>IF(B170="","",IFERROR(IF(INDEX('Imposed Load'!$B$16:$B$68,MATCH(B170,'Imposed Load'!$A$16:$A$68,0))="LL-SPECIAL","",INDEX('Imposed Load'!$C$16:$C$68,MATCH(B170,'Imposed Load'!$A$16:$A$68,0))),""))</f>
        <v/>
      </c>
      <c r="F170" s="31"/>
      <c r="G170" s="31"/>
      <c r="H170" s="216" t="str">
        <f t="shared" si="38"/>
        <v/>
      </c>
      <c r="I170" s="226" t="str">
        <f t="shared" si="39"/>
        <v/>
      </c>
      <c r="J170" s="216" t="str">
        <f t="shared" si="40"/>
        <v/>
      </c>
      <c r="K170" s="218" t="str">
        <f t="shared" si="41"/>
        <v/>
      </c>
      <c r="M170" s="15"/>
      <c r="N170" s="15"/>
      <c r="O170" s="15"/>
      <c r="P170" s="15"/>
      <c r="Q170" s="15"/>
    </row>
    <row r="171" spans="1:17" ht="28.05" customHeight="1">
      <c r="A171" s="40"/>
      <c r="B171" s="41"/>
      <c r="C171" s="224" t="str">
        <f t="shared" si="37"/>
        <v/>
      </c>
      <c r="D171" s="31"/>
      <c r="E171" s="224" t="str">
        <f>IF(B171="","",IFERROR(IF(INDEX('Imposed Load'!$B$16:$B$68,MATCH(B171,'Imposed Load'!$A$16:$A$68,0))="LL-SPECIAL","",INDEX('Imposed Load'!$C$16:$C$68,MATCH(B171,'Imposed Load'!$A$16:$A$68,0))),""))</f>
        <v/>
      </c>
      <c r="F171" s="31"/>
      <c r="G171" s="31"/>
      <c r="H171" s="216" t="str">
        <f t="shared" si="38"/>
        <v/>
      </c>
      <c r="I171" s="226" t="str">
        <f t="shared" si="39"/>
        <v/>
      </c>
      <c r="J171" s="216" t="str">
        <f t="shared" si="40"/>
        <v/>
      </c>
      <c r="K171" s="218" t="str">
        <f t="shared" si="41"/>
        <v/>
      </c>
      <c r="M171" s="15"/>
      <c r="N171" s="15"/>
      <c r="O171" s="15"/>
      <c r="P171" s="15"/>
      <c r="Q171" s="15"/>
    </row>
    <row r="172" spans="1:17" ht="28.05" customHeight="1">
      <c r="A172" s="40"/>
      <c r="B172" s="41"/>
      <c r="C172" s="224" t="str">
        <f t="shared" si="37"/>
        <v/>
      </c>
      <c r="D172" s="31"/>
      <c r="E172" s="224" t="str">
        <f>IF(B172="","",IFERROR(IF(INDEX('Imposed Load'!$B$16:$B$68,MATCH(B172,'Imposed Load'!$A$16:$A$68,0))="LL-SPECIAL","",INDEX('Imposed Load'!$C$16:$C$68,MATCH(B172,'Imposed Load'!$A$16:$A$68,0))),""))</f>
        <v/>
      </c>
      <c r="F172" s="31"/>
      <c r="G172" s="31"/>
      <c r="H172" s="216" t="str">
        <f t="shared" si="38"/>
        <v/>
      </c>
      <c r="I172" s="226" t="str">
        <f t="shared" si="39"/>
        <v/>
      </c>
      <c r="J172" s="216" t="str">
        <f t="shared" si="40"/>
        <v/>
      </c>
      <c r="K172" s="218" t="str">
        <f t="shared" si="41"/>
        <v/>
      </c>
      <c r="M172" s="15"/>
      <c r="N172" s="15"/>
      <c r="O172" s="15"/>
      <c r="P172" s="15"/>
      <c r="Q172" s="15"/>
    </row>
    <row r="173" spans="1:17" ht="28.05" customHeight="1">
      <c r="A173" s="40"/>
      <c r="B173" s="41"/>
      <c r="C173" s="224" t="str">
        <f t="shared" si="37"/>
        <v/>
      </c>
      <c r="D173" s="31"/>
      <c r="E173" s="224" t="str">
        <f>IF(B173="","",IFERROR(IF(INDEX('Imposed Load'!$B$16:$B$68,MATCH(B173,'Imposed Load'!$A$16:$A$68,0))="LL-SPECIAL","",INDEX('Imposed Load'!$C$16:$C$68,MATCH(B173,'Imposed Load'!$A$16:$A$68,0))),""))</f>
        <v/>
      </c>
      <c r="F173" s="31"/>
      <c r="G173" s="31"/>
      <c r="H173" s="216" t="str">
        <f t="shared" si="38"/>
        <v/>
      </c>
      <c r="I173" s="226" t="str">
        <f t="shared" si="39"/>
        <v/>
      </c>
      <c r="J173" s="216" t="str">
        <f t="shared" si="40"/>
        <v/>
      </c>
      <c r="K173" s="218" t="str">
        <f t="shared" si="41"/>
        <v/>
      </c>
      <c r="M173" s="15"/>
      <c r="N173" s="15"/>
      <c r="O173" s="15"/>
      <c r="P173" s="15"/>
      <c r="Q173" s="15"/>
    </row>
    <row r="174" spans="1:17" ht="28.05" customHeight="1">
      <c r="A174" s="40"/>
      <c r="B174" s="41"/>
      <c r="C174" s="224" t="str">
        <f t="shared" si="37"/>
        <v/>
      </c>
      <c r="D174" s="31"/>
      <c r="E174" s="224" t="str">
        <f>IF(B174="","",IFERROR(IF(INDEX('Imposed Load'!$B$16:$B$68,MATCH(B174,'Imposed Load'!$A$16:$A$68,0))="LL-SPECIAL","",INDEX('Imposed Load'!$C$16:$C$68,MATCH(B174,'Imposed Load'!$A$16:$A$68,0))),""))</f>
        <v/>
      </c>
      <c r="F174" s="31"/>
      <c r="G174" s="31"/>
      <c r="H174" s="216" t="str">
        <f t="shared" si="38"/>
        <v/>
      </c>
      <c r="I174" s="226" t="str">
        <f t="shared" si="39"/>
        <v/>
      </c>
      <c r="J174" s="216" t="str">
        <f t="shared" si="40"/>
        <v/>
      </c>
      <c r="K174" s="218" t="str">
        <f t="shared" si="41"/>
        <v/>
      </c>
      <c r="M174" s="15"/>
      <c r="N174" s="15"/>
      <c r="O174" s="15"/>
      <c r="P174" s="15"/>
      <c r="Q174" s="15"/>
    </row>
    <row r="175" spans="1:17" ht="28.05" customHeight="1">
      <c r="A175" s="40"/>
      <c r="B175" s="41"/>
      <c r="C175" s="224" t="str">
        <f t="shared" si="37"/>
        <v/>
      </c>
      <c r="D175" s="31"/>
      <c r="E175" s="224" t="str">
        <f>IF(B175="","",IFERROR(IF(INDEX('Imposed Load'!$B$16:$B$68,MATCH(B175,'Imposed Load'!$A$16:$A$68,0))="LL-SPECIAL","",INDEX('Imposed Load'!$C$16:$C$68,MATCH(B175,'Imposed Load'!$A$16:$A$68,0))),""))</f>
        <v/>
      </c>
      <c r="F175" s="31"/>
      <c r="G175" s="31"/>
      <c r="H175" s="216" t="str">
        <f t="shared" si="38"/>
        <v/>
      </c>
      <c r="I175" s="226" t="str">
        <f t="shared" si="39"/>
        <v/>
      </c>
      <c r="J175" s="216" t="str">
        <f t="shared" si="40"/>
        <v/>
      </c>
      <c r="K175" s="218" t="str">
        <f t="shared" si="41"/>
        <v/>
      </c>
      <c r="M175" s="15"/>
      <c r="N175" s="15"/>
      <c r="O175" s="15"/>
      <c r="P175" s="15"/>
      <c r="Q175" s="15"/>
    </row>
    <row r="176" spans="1:17" ht="28.05" customHeight="1">
      <c r="A176" s="40"/>
      <c r="B176" s="41"/>
      <c r="C176" s="224" t="str">
        <f t="shared" si="37"/>
        <v/>
      </c>
      <c r="D176" s="31"/>
      <c r="E176" s="224" t="str">
        <f>IF(B176="","",IFERROR(IF(INDEX('Imposed Load'!$B$16:$B$68,MATCH(B176,'Imposed Load'!$A$16:$A$68,0))="LL-SPECIAL","",INDEX('Imposed Load'!$C$16:$C$68,MATCH(B176,'Imposed Load'!$A$16:$A$68,0))),""))</f>
        <v/>
      </c>
      <c r="F176" s="31"/>
      <c r="G176" s="31"/>
      <c r="H176" s="216" t="str">
        <f t="shared" si="38"/>
        <v/>
      </c>
      <c r="I176" s="226" t="str">
        <f t="shared" si="39"/>
        <v/>
      </c>
      <c r="J176" s="216" t="str">
        <f t="shared" si="40"/>
        <v/>
      </c>
      <c r="K176" s="218" t="str">
        <f t="shared" si="41"/>
        <v/>
      </c>
      <c r="M176" s="15"/>
      <c r="N176" s="15"/>
      <c r="O176" s="15"/>
      <c r="P176" s="15"/>
      <c r="Q176" s="15"/>
    </row>
    <row r="177" spans="1:17" ht="28.05" customHeight="1">
      <c r="A177" s="40"/>
      <c r="B177" s="41"/>
      <c r="C177" s="224" t="str">
        <f t="shared" si="37"/>
        <v/>
      </c>
      <c r="D177" s="31"/>
      <c r="E177" s="224" t="str">
        <f>IF(B177="","",IFERROR(IF(INDEX('Imposed Load'!$B$16:$B$68,MATCH(B177,'Imposed Load'!$A$16:$A$68,0))="LL-SPECIAL","",INDEX('Imposed Load'!$C$16:$C$68,MATCH(B177,'Imposed Load'!$A$16:$A$68,0))),""))</f>
        <v/>
      </c>
      <c r="F177" s="31"/>
      <c r="G177" s="31"/>
      <c r="H177" s="216" t="str">
        <f t="shared" si="38"/>
        <v/>
      </c>
      <c r="I177" s="226" t="str">
        <f t="shared" si="39"/>
        <v/>
      </c>
      <c r="J177" s="216" t="str">
        <f t="shared" si="40"/>
        <v/>
      </c>
      <c r="K177" s="218" t="str">
        <f t="shared" si="41"/>
        <v/>
      </c>
      <c r="M177" s="15"/>
      <c r="N177" s="15"/>
      <c r="O177" s="15"/>
      <c r="P177" s="15"/>
      <c r="Q177" s="15"/>
    </row>
    <row r="178" spans="1:17" ht="28.05" customHeight="1">
      <c r="A178" s="40"/>
      <c r="B178" s="41"/>
      <c r="C178" s="224" t="str">
        <f t="shared" si="37"/>
        <v/>
      </c>
      <c r="D178" s="31"/>
      <c r="E178" s="224" t="str">
        <f>IF(B178="","",IFERROR(IF(INDEX('Imposed Load'!$B$16:$B$68,MATCH(B178,'Imposed Load'!$A$16:$A$68,0))="LL-SPECIAL","",INDEX('Imposed Load'!$C$16:$C$68,MATCH(B178,'Imposed Load'!$A$16:$A$68,0))),""))</f>
        <v/>
      </c>
      <c r="F178" s="31"/>
      <c r="G178" s="31"/>
      <c r="H178" s="216" t="str">
        <f t="shared" si="38"/>
        <v/>
      </c>
      <c r="I178" s="226" t="str">
        <f t="shared" si="39"/>
        <v/>
      </c>
      <c r="J178" s="216" t="str">
        <f t="shared" si="40"/>
        <v/>
      </c>
      <c r="K178" s="218" t="str">
        <f t="shared" si="41"/>
        <v/>
      </c>
      <c r="M178" s="15"/>
      <c r="N178" s="15"/>
      <c r="O178" s="15"/>
      <c r="P178" s="15"/>
      <c r="Q178" s="15"/>
    </row>
    <row r="179" spans="1:17" ht="28.05" customHeight="1">
      <c r="A179" s="40"/>
      <c r="B179" s="41"/>
      <c r="C179" s="224" t="str">
        <f t="shared" si="37"/>
        <v/>
      </c>
      <c r="D179" s="31"/>
      <c r="E179" s="224" t="str">
        <f>IF(B179="","",IFERROR(IF(INDEX('Imposed Load'!$B$16:$B$68,MATCH(B179,'Imposed Load'!$A$16:$A$68,0))="LL-SPECIAL","",INDEX('Imposed Load'!$C$16:$C$68,MATCH(B179,'Imposed Load'!$A$16:$A$68,0))),""))</f>
        <v/>
      </c>
      <c r="F179" s="31"/>
      <c r="G179" s="31"/>
      <c r="H179" s="216" t="str">
        <f t="shared" si="38"/>
        <v/>
      </c>
      <c r="I179" s="226" t="str">
        <f t="shared" si="39"/>
        <v/>
      </c>
      <c r="J179" s="216" t="str">
        <f t="shared" si="40"/>
        <v/>
      </c>
      <c r="K179" s="218" t="str">
        <f t="shared" si="41"/>
        <v/>
      </c>
      <c r="M179" s="15"/>
      <c r="N179" s="15"/>
      <c r="O179" s="15"/>
      <c r="P179" s="15"/>
      <c r="Q179" s="15"/>
    </row>
    <row r="180" spans="1:17" ht="28.05" customHeight="1">
      <c r="A180" s="40"/>
      <c r="B180" s="41"/>
      <c r="C180" s="224" t="str">
        <f t="shared" si="37"/>
        <v/>
      </c>
      <c r="D180" s="31"/>
      <c r="E180" s="224" t="str">
        <f>IF(B180="","",IFERROR(IF(INDEX('Imposed Load'!$B$16:$B$68,MATCH(B180,'Imposed Load'!$A$16:$A$68,0))="LL-SPECIAL","",INDEX('Imposed Load'!$C$16:$C$68,MATCH(B180,'Imposed Load'!$A$16:$A$68,0))),""))</f>
        <v/>
      </c>
      <c r="F180" s="31"/>
      <c r="G180" s="31"/>
      <c r="H180" s="216" t="str">
        <f t="shared" si="38"/>
        <v/>
      </c>
      <c r="I180" s="226" t="str">
        <f t="shared" si="39"/>
        <v/>
      </c>
      <c r="J180" s="216" t="str">
        <f t="shared" si="40"/>
        <v/>
      </c>
      <c r="K180" s="218" t="str">
        <f t="shared" si="41"/>
        <v/>
      </c>
      <c r="M180" s="15"/>
      <c r="N180" s="15"/>
      <c r="O180" s="15"/>
      <c r="P180" s="15"/>
      <c r="Q180" s="15"/>
    </row>
    <row r="181" spans="1:17" ht="28.05" customHeight="1">
      <c r="A181" s="40"/>
      <c r="B181" s="41"/>
      <c r="C181" s="224" t="str">
        <f t="shared" si="37"/>
        <v/>
      </c>
      <c r="D181" s="31"/>
      <c r="E181" s="224" t="str">
        <f>IF(B181="","",IFERROR(IF(INDEX('Imposed Load'!$B$16:$B$68,MATCH(B181,'Imposed Load'!$A$16:$A$68,0))="LL-SPECIAL","",INDEX('Imposed Load'!$C$16:$C$68,MATCH(B181,'Imposed Load'!$A$16:$A$68,0))),""))</f>
        <v/>
      </c>
      <c r="F181" s="31"/>
      <c r="G181" s="31"/>
      <c r="H181" s="216" t="str">
        <f t="shared" si="38"/>
        <v/>
      </c>
      <c r="I181" s="226" t="str">
        <f t="shared" si="39"/>
        <v/>
      </c>
      <c r="J181" s="216" t="str">
        <f t="shared" si="40"/>
        <v/>
      </c>
      <c r="K181" s="218" t="str">
        <f t="shared" si="41"/>
        <v/>
      </c>
      <c r="M181" s="15"/>
      <c r="N181" s="15"/>
      <c r="O181" s="15"/>
      <c r="P181" s="15"/>
      <c r="Q181" s="15"/>
    </row>
    <row r="182" spans="1:17" ht="28.05" customHeight="1">
      <c r="A182" s="40"/>
      <c r="B182" s="41"/>
      <c r="C182" s="224" t="str">
        <f t="shared" si="37"/>
        <v/>
      </c>
      <c r="D182" s="31"/>
      <c r="E182" s="224" t="str">
        <f>IF(B182="","",IFERROR(IF(INDEX('Imposed Load'!$B$16:$B$68,MATCH(B182,'Imposed Load'!$A$16:$A$68,0))="LL-SPECIAL","",INDEX('Imposed Load'!$C$16:$C$68,MATCH(B182,'Imposed Load'!$A$16:$A$68,0))),""))</f>
        <v/>
      </c>
      <c r="F182" s="31"/>
      <c r="G182" s="31"/>
      <c r="H182" s="216" t="str">
        <f t="shared" si="38"/>
        <v/>
      </c>
      <c r="I182" s="226" t="str">
        <f t="shared" si="39"/>
        <v/>
      </c>
      <c r="J182" s="216" t="str">
        <f t="shared" si="40"/>
        <v/>
      </c>
      <c r="K182" s="218" t="str">
        <f t="shared" si="41"/>
        <v/>
      </c>
      <c r="M182" s="15"/>
      <c r="N182" s="15"/>
      <c r="O182" s="15"/>
      <c r="P182" s="15"/>
      <c r="Q182" s="15"/>
    </row>
    <row r="183" spans="1:17" ht="28.05" customHeight="1">
      <c r="A183" s="40"/>
      <c r="B183" s="41"/>
      <c r="C183" s="224" t="str">
        <f t="shared" si="37"/>
        <v/>
      </c>
      <c r="D183" s="31"/>
      <c r="E183" s="224" t="str">
        <f>IF(B183="","",IFERROR(IF(INDEX('Imposed Load'!$B$16:$B$68,MATCH(B183,'Imposed Load'!$A$16:$A$68,0))="LL-SPECIAL","",INDEX('Imposed Load'!$C$16:$C$68,MATCH(B183,'Imposed Load'!$A$16:$A$68,0))),""))</f>
        <v/>
      </c>
      <c r="F183" s="31"/>
      <c r="G183" s="31"/>
      <c r="H183" s="216" t="str">
        <f t="shared" si="38"/>
        <v/>
      </c>
      <c r="I183" s="226" t="str">
        <f t="shared" si="39"/>
        <v/>
      </c>
      <c r="J183" s="216" t="str">
        <f t="shared" si="40"/>
        <v/>
      </c>
      <c r="K183" s="218" t="str">
        <f t="shared" si="41"/>
        <v/>
      </c>
      <c r="M183" s="15"/>
      <c r="N183" s="15"/>
      <c r="O183" s="15"/>
      <c r="P183" s="15"/>
      <c r="Q183" s="15"/>
    </row>
    <row r="184" spans="1:17" ht="28.05" customHeight="1">
      <c r="A184" s="40"/>
      <c r="B184" s="41"/>
      <c r="C184" s="224" t="str">
        <f t="shared" si="37"/>
        <v/>
      </c>
      <c r="D184" s="31"/>
      <c r="E184" s="224" t="str">
        <f>IF(B184="","",IFERROR(IF(INDEX('Imposed Load'!$B$16:$B$68,MATCH(B184,'Imposed Load'!$A$16:$A$68,0))="LL-SPECIAL","",INDEX('Imposed Load'!$C$16:$C$68,MATCH(B184,'Imposed Load'!$A$16:$A$68,0))),""))</f>
        <v/>
      </c>
      <c r="F184" s="31"/>
      <c r="G184" s="31"/>
      <c r="H184" s="216" t="str">
        <f t="shared" si="38"/>
        <v/>
      </c>
      <c r="I184" s="226" t="str">
        <f t="shared" si="39"/>
        <v/>
      </c>
      <c r="J184" s="216" t="str">
        <f t="shared" si="40"/>
        <v/>
      </c>
      <c r="K184" s="218" t="str">
        <f t="shared" si="41"/>
        <v/>
      </c>
      <c r="M184" s="15"/>
      <c r="N184" s="15"/>
      <c r="O184" s="15"/>
      <c r="P184" s="15"/>
      <c r="Q184" s="15"/>
    </row>
    <row r="185" spans="1:17" ht="28.05" customHeight="1">
      <c r="A185" s="40"/>
      <c r="B185" s="41"/>
      <c r="C185" s="224" t="str">
        <f t="shared" si="37"/>
        <v/>
      </c>
      <c r="D185" s="31"/>
      <c r="E185" s="224" t="str">
        <f>IF(B185="","",IFERROR(IF(INDEX('Imposed Load'!$B$16:$B$68,MATCH(B185,'Imposed Load'!$A$16:$A$68,0))="LL-SPECIAL","",INDEX('Imposed Load'!$C$16:$C$68,MATCH(B185,'Imposed Load'!$A$16:$A$68,0))),""))</f>
        <v/>
      </c>
      <c r="F185" s="31"/>
      <c r="G185" s="31"/>
      <c r="H185" s="216" t="str">
        <f t="shared" si="38"/>
        <v/>
      </c>
      <c r="I185" s="226" t="str">
        <f t="shared" si="39"/>
        <v/>
      </c>
      <c r="J185" s="216" t="str">
        <f t="shared" si="40"/>
        <v/>
      </c>
      <c r="K185" s="218" t="str">
        <f t="shared" si="41"/>
        <v/>
      </c>
      <c r="M185" s="15"/>
      <c r="N185" s="15"/>
      <c r="O185" s="15"/>
      <c r="P185" s="15"/>
      <c r="Q185" s="15"/>
    </row>
    <row r="186" spans="1:17" ht="28.05" customHeight="1">
      <c r="A186" s="40"/>
      <c r="B186" s="41"/>
      <c r="C186" s="224" t="str">
        <f t="shared" si="37"/>
        <v/>
      </c>
      <c r="D186" s="31"/>
      <c r="E186" s="224" t="str">
        <f>IF(B186="","",IFERROR(IF(INDEX('Imposed Load'!$B$16:$B$68,MATCH(B186,'Imposed Load'!$A$16:$A$68,0))="LL-SPECIAL","",INDEX('Imposed Load'!$C$16:$C$68,MATCH(B186,'Imposed Load'!$A$16:$A$68,0))),""))</f>
        <v/>
      </c>
      <c r="F186" s="31"/>
      <c r="G186" s="31"/>
      <c r="H186" s="216" t="str">
        <f t="shared" si="38"/>
        <v/>
      </c>
      <c r="I186" s="226" t="str">
        <f t="shared" si="39"/>
        <v/>
      </c>
      <c r="J186" s="216" t="str">
        <f t="shared" si="40"/>
        <v/>
      </c>
      <c r="K186" s="218" t="str">
        <f t="shared" si="41"/>
        <v/>
      </c>
      <c r="M186" s="15"/>
      <c r="N186" s="15"/>
      <c r="O186" s="15"/>
      <c r="P186" s="15"/>
      <c r="Q186" s="15"/>
    </row>
    <row r="187" spans="1:17" ht="28.05" customHeight="1">
      <c r="A187" s="40"/>
      <c r="B187" s="41"/>
      <c r="C187" s="224" t="str">
        <f t="shared" si="37"/>
        <v/>
      </c>
      <c r="D187" s="31"/>
      <c r="E187" s="224" t="str">
        <f>IF(B187="","",IFERROR(IF(INDEX('Imposed Load'!$B$16:$B$68,MATCH(B187,'Imposed Load'!$A$16:$A$68,0))="LL-SPECIAL","",INDEX('Imposed Load'!$C$16:$C$68,MATCH(B187,'Imposed Load'!$A$16:$A$68,0))),""))</f>
        <v/>
      </c>
      <c r="F187" s="31"/>
      <c r="G187" s="31"/>
      <c r="H187" s="216" t="str">
        <f t="shared" si="38"/>
        <v/>
      </c>
      <c r="I187" s="226" t="str">
        <f t="shared" si="39"/>
        <v/>
      </c>
      <c r="J187" s="216" t="str">
        <f t="shared" si="40"/>
        <v/>
      </c>
      <c r="K187" s="218" t="str">
        <f t="shared" si="41"/>
        <v/>
      </c>
      <c r="M187" s="15"/>
      <c r="N187" s="15"/>
      <c r="O187" s="15"/>
      <c r="P187" s="15"/>
      <c r="Q187" s="15"/>
    </row>
    <row r="188" spans="1:17" ht="28.05" customHeight="1">
      <c r="A188" s="40"/>
      <c r="B188" s="41"/>
      <c r="C188" s="224" t="str">
        <f t="shared" si="37"/>
        <v/>
      </c>
      <c r="D188" s="31"/>
      <c r="E188" s="224" t="str">
        <f>IF(B188="","",IFERROR(IF(INDEX('Imposed Load'!$B$16:$B$68,MATCH(B188,'Imposed Load'!$A$16:$A$68,0))="LL-SPECIAL","",INDEX('Imposed Load'!$C$16:$C$68,MATCH(B188,'Imposed Load'!$A$16:$A$68,0))),""))</f>
        <v/>
      </c>
      <c r="F188" s="31"/>
      <c r="G188" s="31"/>
      <c r="H188" s="216" t="str">
        <f t="shared" si="38"/>
        <v/>
      </c>
      <c r="I188" s="226" t="str">
        <f t="shared" si="39"/>
        <v/>
      </c>
      <c r="J188" s="216" t="str">
        <f t="shared" si="40"/>
        <v/>
      </c>
      <c r="K188" s="218" t="str">
        <f t="shared" si="41"/>
        <v/>
      </c>
      <c r="M188" s="15"/>
      <c r="N188" s="15"/>
      <c r="O188" s="15"/>
      <c r="P188" s="15"/>
      <c r="Q188" s="15"/>
    </row>
    <row r="189" spans="1:17" ht="28.05" customHeight="1">
      <c r="A189" s="40"/>
      <c r="B189" s="41"/>
      <c r="C189" s="224" t="str">
        <f t="shared" si="37"/>
        <v/>
      </c>
      <c r="D189" s="31"/>
      <c r="E189" s="224" t="str">
        <f>IF(B189="","",IFERROR(IF(INDEX('Imposed Load'!$B$16:$B$68,MATCH(B189,'Imposed Load'!$A$16:$A$68,0))="LL-SPECIAL","",INDEX('Imposed Load'!$C$16:$C$68,MATCH(B189,'Imposed Load'!$A$16:$A$68,0))),""))</f>
        <v/>
      </c>
      <c r="F189" s="31"/>
      <c r="G189" s="31"/>
      <c r="H189" s="216" t="str">
        <f t="shared" si="38"/>
        <v/>
      </c>
      <c r="I189" s="226" t="str">
        <f t="shared" si="39"/>
        <v/>
      </c>
      <c r="J189" s="216" t="str">
        <f t="shared" si="40"/>
        <v/>
      </c>
      <c r="K189" s="218" t="str">
        <f t="shared" si="41"/>
        <v/>
      </c>
      <c r="M189" s="15"/>
      <c r="N189" s="15"/>
      <c r="O189" s="15"/>
      <c r="P189" s="15"/>
      <c r="Q189" s="15"/>
    </row>
    <row r="190" spans="1:17" ht="28.05" customHeight="1">
      <c r="A190" s="40"/>
      <c r="B190" s="41"/>
      <c r="C190" s="224" t="str">
        <f t="shared" si="37"/>
        <v/>
      </c>
      <c r="D190" s="31"/>
      <c r="E190" s="224" t="str">
        <f>IF(B190="","",IFERROR(IF(INDEX('Imposed Load'!$B$16:$B$68,MATCH(B190,'Imposed Load'!$A$16:$A$68,0))="LL-SPECIAL","",INDEX('Imposed Load'!$C$16:$C$68,MATCH(B190,'Imposed Load'!$A$16:$A$68,0))),""))</f>
        <v/>
      </c>
      <c r="F190" s="31"/>
      <c r="G190" s="31"/>
      <c r="H190" s="216" t="str">
        <f t="shared" si="38"/>
        <v/>
      </c>
      <c r="I190" s="226" t="str">
        <f t="shared" si="39"/>
        <v/>
      </c>
      <c r="J190" s="216" t="str">
        <f t="shared" si="40"/>
        <v/>
      </c>
      <c r="K190" s="218" t="str">
        <f t="shared" si="41"/>
        <v/>
      </c>
      <c r="M190" s="15"/>
      <c r="N190" s="15"/>
      <c r="O190" s="15"/>
      <c r="P190" s="15"/>
      <c r="Q190" s="15"/>
    </row>
    <row r="191" spans="1:17" ht="28.05" customHeight="1">
      <c r="A191" s="40"/>
      <c r="B191" s="41"/>
      <c r="C191" s="224" t="str">
        <f t="shared" si="37"/>
        <v/>
      </c>
      <c r="D191" s="31"/>
      <c r="E191" s="224" t="str">
        <f>IF(B191="","",IFERROR(IF(INDEX('Imposed Load'!$B$16:$B$68,MATCH(B191,'Imposed Load'!$A$16:$A$68,0))="LL-SPECIAL","",INDEX('Imposed Load'!$C$16:$C$68,MATCH(B191,'Imposed Load'!$A$16:$A$68,0))),""))</f>
        <v/>
      </c>
      <c r="F191" s="31"/>
      <c r="G191" s="31"/>
      <c r="H191" s="216" t="str">
        <f t="shared" si="38"/>
        <v/>
      </c>
      <c r="I191" s="226" t="str">
        <f t="shared" si="39"/>
        <v/>
      </c>
      <c r="J191" s="216" t="str">
        <f t="shared" si="40"/>
        <v/>
      </c>
      <c r="K191" s="218" t="str">
        <f t="shared" si="41"/>
        <v/>
      </c>
      <c r="M191" s="15"/>
      <c r="N191" s="15"/>
      <c r="O191" s="15"/>
      <c r="P191" s="15"/>
      <c r="Q191" s="15"/>
    </row>
    <row r="192" spans="1:17" ht="28.05" customHeight="1">
      <c r="A192" s="40"/>
      <c r="B192" s="41"/>
      <c r="C192" s="224" t="str">
        <f t="shared" si="37"/>
        <v/>
      </c>
      <c r="D192" s="31"/>
      <c r="E192" s="224" t="str">
        <f>IF(B192="","",IFERROR(IF(INDEX('Imposed Load'!$B$16:$B$68,MATCH(B192,'Imposed Load'!$A$16:$A$68,0))="LL-SPECIAL","",INDEX('Imposed Load'!$C$16:$C$68,MATCH(B192,'Imposed Load'!$A$16:$A$68,0))),""))</f>
        <v/>
      </c>
      <c r="F192" s="31"/>
      <c r="G192" s="31"/>
      <c r="H192" s="216" t="str">
        <f t="shared" si="38"/>
        <v/>
      </c>
      <c r="I192" s="226" t="str">
        <f t="shared" si="39"/>
        <v/>
      </c>
      <c r="J192" s="216" t="str">
        <f t="shared" si="40"/>
        <v/>
      </c>
      <c r="K192" s="218" t="str">
        <f t="shared" si="41"/>
        <v/>
      </c>
      <c r="M192" s="15"/>
      <c r="N192" s="15"/>
      <c r="O192" s="15"/>
      <c r="P192" s="15"/>
      <c r="Q192" s="15"/>
    </row>
    <row r="193" spans="1:17" ht="28.05" customHeight="1">
      <c r="A193" s="40"/>
      <c r="B193" s="41"/>
      <c r="C193" s="224" t="str">
        <f t="shared" si="37"/>
        <v/>
      </c>
      <c r="D193" s="31"/>
      <c r="E193" s="224" t="str">
        <f>IF(B193="","",IFERROR(IF(INDEX('Imposed Load'!$B$16:$B$68,MATCH(B193,'Imposed Load'!$A$16:$A$68,0))="LL-SPECIAL","",INDEX('Imposed Load'!$C$16:$C$68,MATCH(B193,'Imposed Load'!$A$16:$A$68,0))),""))</f>
        <v/>
      </c>
      <c r="F193" s="31"/>
      <c r="G193" s="31"/>
      <c r="H193" s="216" t="str">
        <f t="shared" si="38"/>
        <v/>
      </c>
      <c r="I193" s="226" t="str">
        <f t="shared" si="39"/>
        <v/>
      </c>
      <c r="J193" s="216" t="str">
        <f t="shared" si="40"/>
        <v/>
      </c>
      <c r="K193" s="218" t="str">
        <f t="shared" si="41"/>
        <v/>
      </c>
      <c r="M193" s="15"/>
      <c r="N193" s="15"/>
      <c r="O193" s="15"/>
      <c r="P193" s="15"/>
      <c r="Q193" s="15"/>
    </row>
    <row r="194" spans="1:17" ht="28.05" customHeight="1">
      <c r="A194" s="40"/>
      <c r="B194" s="41"/>
      <c r="C194" s="224" t="str">
        <f t="shared" si="37"/>
        <v/>
      </c>
      <c r="D194" s="31"/>
      <c r="E194" s="224" t="str">
        <f>IF(B194="","",IFERROR(IF(INDEX('Imposed Load'!$B$16:$B$68,MATCH(B194,'Imposed Load'!$A$16:$A$68,0))="LL-SPECIAL","",INDEX('Imposed Load'!$C$16:$C$68,MATCH(B194,'Imposed Load'!$A$16:$A$68,0))),""))</f>
        <v/>
      </c>
      <c r="F194" s="31"/>
      <c r="G194" s="31"/>
      <c r="H194" s="216" t="str">
        <f t="shared" si="38"/>
        <v/>
      </c>
      <c r="I194" s="226" t="str">
        <f t="shared" si="39"/>
        <v/>
      </c>
      <c r="J194" s="216" t="str">
        <f t="shared" si="40"/>
        <v/>
      </c>
      <c r="K194" s="218" t="str">
        <f t="shared" si="41"/>
        <v/>
      </c>
      <c r="M194" s="15"/>
      <c r="N194" s="15"/>
      <c r="O194" s="15"/>
      <c r="P194" s="15"/>
      <c r="Q194" s="15"/>
    </row>
    <row r="195" spans="1:17" ht="28.05" customHeight="1">
      <c r="A195" s="40"/>
      <c r="B195" s="41"/>
      <c r="C195" s="224" t="str">
        <f t="shared" si="37"/>
        <v/>
      </c>
      <c r="D195" s="31"/>
      <c r="E195" s="224" t="str">
        <f>IF(B195="","",IFERROR(IF(INDEX('Imposed Load'!$B$16:$B$68,MATCH(B195,'Imposed Load'!$A$16:$A$68,0))="LL-SPECIAL","",INDEX('Imposed Load'!$C$16:$C$68,MATCH(B195,'Imposed Load'!$A$16:$A$68,0))),""))</f>
        <v/>
      </c>
      <c r="F195" s="31"/>
      <c r="G195" s="31"/>
      <c r="H195" s="216" t="str">
        <f t="shared" si="38"/>
        <v/>
      </c>
      <c r="I195" s="226" t="str">
        <f t="shared" si="39"/>
        <v/>
      </c>
      <c r="J195" s="216" t="str">
        <f t="shared" si="40"/>
        <v/>
      </c>
      <c r="K195" s="218" t="str">
        <f t="shared" si="41"/>
        <v/>
      </c>
      <c r="M195" s="15"/>
      <c r="N195" s="15"/>
      <c r="O195" s="15"/>
      <c r="P195" s="15"/>
      <c r="Q195" s="15"/>
    </row>
    <row r="196" spans="1:17" ht="28.05" customHeight="1">
      <c r="A196" s="40"/>
      <c r="B196" s="41"/>
      <c r="C196" s="224" t="str">
        <f t="shared" si="37"/>
        <v/>
      </c>
      <c r="D196" s="31"/>
      <c r="E196" s="224" t="str">
        <f>IF(B196="","",IFERROR(IF(INDEX('Imposed Load'!$B$16:$B$68,MATCH(B196,'Imposed Load'!$A$16:$A$68,0))="LL-SPECIAL","",INDEX('Imposed Load'!$C$16:$C$68,MATCH(B196,'Imposed Load'!$A$16:$A$68,0))),""))</f>
        <v/>
      </c>
      <c r="F196" s="31"/>
      <c r="G196" s="31"/>
      <c r="H196" s="216" t="str">
        <f t="shared" si="38"/>
        <v/>
      </c>
      <c r="I196" s="226" t="str">
        <f t="shared" si="39"/>
        <v/>
      </c>
      <c r="J196" s="216" t="str">
        <f t="shared" si="40"/>
        <v/>
      </c>
      <c r="K196" s="218" t="str">
        <f t="shared" si="41"/>
        <v/>
      </c>
      <c r="M196" s="15"/>
      <c r="N196" s="15"/>
      <c r="O196" s="15"/>
      <c r="P196" s="15"/>
      <c r="Q196" s="15"/>
    </row>
    <row r="197" spans="1:17" ht="28.05" customHeight="1">
      <c r="A197" s="40"/>
      <c r="B197" s="41"/>
      <c r="C197" s="224" t="str">
        <f t="shared" si="37"/>
        <v/>
      </c>
      <c r="D197" s="31"/>
      <c r="E197" s="224" t="str">
        <f>IF(B197="","",IFERROR(IF(INDEX('Imposed Load'!$B$16:$B$68,MATCH(B197,'Imposed Load'!$A$16:$A$68,0))="LL-SPECIAL","",INDEX('Imposed Load'!$C$16:$C$68,MATCH(B197,'Imposed Load'!$A$16:$A$68,0))),""))</f>
        <v/>
      </c>
      <c r="F197" s="31"/>
      <c r="G197" s="31"/>
      <c r="H197" s="216" t="str">
        <f t="shared" si="38"/>
        <v/>
      </c>
      <c r="I197" s="226" t="str">
        <f t="shared" si="39"/>
        <v/>
      </c>
      <c r="J197" s="216" t="str">
        <f t="shared" si="40"/>
        <v/>
      </c>
      <c r="K197" s="218" t="str">
        <f t="shared" si="41"/>
        <v/>
      </c>
      <c r="M197" s="15"/>
      <c r="N197" s="15"/>
      <c r="O197" s="15"/>
      <c r="P197" s="15"/>
      <c r="Q197" s="15"/>
    </row>
    <row r="198" spans="1:17" ht="28.05" customHeight="1">
      <c r="A198" s="40"/>
      <c r="B198" s="41"/>
      <c r="C198" s="224" t="str">
        <f t="shared" ref="C198:C204" si="42">IF(A198="","",10)</f>
        <v/>
      </c>
      <c r="D198" s="31"/>
      <c r="E198" s="224" t="str">
        <f>IF(B198="","",IFERROR(IF(INDEX('Imposed Load'!$B$16:$B$68,MATCH(B198,'Imposed Load'!$A$16:$A$68,0))="LL-SPECIAL","",INDEX('Imposed Load'!$C$16:$C$68,MATCH(B198,'Imposed Load'!$A$16:$A$68,0))),""))</f>
        <v/>
      </c>
      <c r="F198" s="31"/>
      <c r="G198" s="31"/>
      <c r="H198" s="216" t="str">
        <f t="shared" ref="H198:H204" si="43">IF(OR(F198="",G198=""),"",F198*G198)</f>
        <v/>
      </c>
      <c r="I198" s="226" t="str">
        <f t="shared" ref="I198:I204" si="44">IF(A198="","",1)</f>
        <v/>
      </c>
      <c r="J198" s="216" t="str">
        <f t="shared" ref="J198:J204" si="45">IF(K198&lt;&gt;"OK","",H198*I198*(1.4*(C198+D198)+1.6*E198))</f>
        <v/>
      </c>
      <c r="K198" s="218" t="str">
        <f t="shared" ref="K198:K204" si="46">IF(AND(A198="",B198="",F198="",G198=""),"",IF(OR(COUNTIF($O$5:$O$104,A198)&lt;&gt;1,B198="",COUNT(C198:G198,I198)&lt;&gt;6,MIN(C198:E198)&lt;0,F198&lt;=0,G198&lt;=0,I198&lt;=0,MOD(I198,1)&lt;&gt;0),"INPUT REQUIRED","OK"))</f>
        <v/>
      </c>
      <c r="M198" s="15"/>
      <c r="N198" s="15"/>
      <c r="O198" s="15"/>
      <c r="P198" s="15"/>
      <c r="Q198" s="15"/>
    </row>
    <row r="199" spans="1:17" ht="28.05" customHeight="1">
      <c r="A199" s="40"/>
      <c r="B199" s="41"/>
      <c r="C199" s="224" t="str">
        <f t="shared" si="42"/>
        <v/>
      </c>
      <c r="D199" s="31"/>
      <c r="E199" s="224" t="str">
        <f>IF(B199="","",IFERROR(IF(INDEX('Imposed Load'!$B$16:$B$68,MATCH(B199,'Imposed Load'!$A$16:$A$68,0))="LL-SPECIAL","",INDEX('Imposed Load'!$C$16:$C$68,MATCH(B199,'Imposed Load'!$A$16:$A$68,0))),""))</f>
        <v/>
      </c>
      <c r="F199" s="31"/>
      <c r="G199" s="31"/>
      <c r="H199" s="216" t="str">
        <f t="shared" si="43"/>
        <v/>
      </c>
      <c r="I199" s="226" t="str">
        <f t="shared" si="44"/>
        <v/>
      </c>
      <c r="J199" s="216" t="str">
        <f t="shared" si="45"/>
        <v/>
      </c>
      <c r="K199" s="218" t="str">
        <f t="shared" si="46"/>
        <v/>
      </c>
      <c r="M199" s="15"/>
      <c r="N199" s="15"/>
      <c r="O199" s="15"/>
      <c r="P199" s="15"/>
      <c r="Q199" s="15"/>
    </row>
    <row r="200" spans="1:17" ht="28.05" customHeight="1">
      <c r="A200" s="40"/>
      <c r="B200" s="41"/>
      <c r="C200" s="224" t="str">
        <f t="shared" si="42"/>
        <v/>
      </c>
      <c r="D200" s="31"/>
      <c r="E200" s="224" t="str">
        <f>IF(B200="","",IFERROR(IF(INDEX('Imposed Load'!$B$16:$B$68,MATCH(B200,'Imposed Load'!$A$16:$A$68,0))="LL-SPECIAL","",INDEX('Imposed Load'!$C$16:$C$68,MATCH(B200,'Imposed Load'!$A$16:$A$68,0))),""))</f>
        <v/>
      </c>
      <c r="F200" s="31"/>
      <c r="G200" s="31"/>
      <c r="H200" s="216" t="str">
        <f t="shared" si="43"/>
        <v/>
      </c>
      <c r="I200" s="226" t="str">
        <f t="shared" si="44"/>
        <v/>
      </c>
      <c r="J200" s="216" t="str">
        <f t="shared" si="45"/>
        <v/>
      </c>
      <c r="K200" s="218" t="str">
        <f t="shared" si="46"/>
        <v/>
      </c>
      <c r="M200" s="15"/>
      <c r="N200" s="15"/>
      <c r="O200" s="15"/>
      <c r="P200" s="15"/>
      <c r="Q200" s="15"/>
    </row>
    <row r="201" spans="1:17" ht="28.05" customHeight="1">
      <c r="A201" s="40"/>
      <c r="B201" s="41"/>
      <c r="C201" s="224" t="str">
        <f t="shared" si="42"/>
        <v/>
      </c>
      <c r="D201" s="31"/>
      <c r="E201" s="224" t="str">
        <f>IF(B201="","",IFERROR(IF(INDEX('Imposed Load'!$B$16:$B$68,MATCH(B201,'Imposed Load'!$A$16:$A$68,0))="LL-SPECIAL","",INDEX('Imposed Load'!$C$16:$C$68,MATCH(B201,'Imposed Load'!$A$16:$A$68,0))),""))</f>
        <v/>
      </c>
      <c r="F201" s="31"/>
      <c r="G201" s="31"/>
      <c r="H201" s="216" t="str">
        <f t="shared" si="43"/>
        <v/>
      </c>
      <c r="I201" s="226" t="str">
        <f t="shared" si="44"/>
        <v/>
      </c>
      <c r="J201" s="216" t="str">
        <f t="shared" si="45"/>
        <v/>
      </c>
      <c r="K201" s="218" t="str">
        <f t="shared" si="46"/>
        <v/>
      </c>
      <c r="M201" s="15"/>
      <c r="N201" s="15"/>
      <c r="O201" s="15"/>
      <c r="P201" s="15"/>
      <c r="Q201" s="15"/>
    </row>
    <row r="202" spans="1:17" ht="28.05" customHeight="1">
      <c r="A202" s="40"/>
      <c r="B202" s="41"/>
      <c r="C202" s="224" t="str">
        <f t="shared" si="42"/>
        <v/>
      </c>
      <c r="D202" s="31"/>
      <c r="E202" s="224" t="str">
        <f>IF(B202="","",IFERROR(IF(INDEX('Imposed Load'!$B$16:$B$68,MATCH(B202,'Imposed Load'!$A$16:$A$68,0))="LL-SPECIAL","",INDEX('Imposed Load'!$C$16:$C$68,MATCH(B202,'Imposed Load'!$A$16:$A$68,0))),""))</f>
        <v/>
      </c>
      <c r="F202" s="31"/>
      <c r="G202" s="31"/>
      <c r="H202" s="216" t="str">
        <f t="shared" si="43"/>
        <v/>
      </c>
      <c r="I202" s="226" t="str">
        <f t="shared" si="44"/>
        <v/>
      </c>
      <c r="J202" s="216" t="str">
        <f t="shared" si="45"/>
        <v/>
      </c>
      <c r="K202" s="218" t="str">
        <f t="shared" si="46"/>
        <v/>
      </c>
      <c r="M202" s="15"/>
      <c r="N202" s="15"/>
      <c r="O202" s="15"/>
      <c r="P202" s="15"/>
      <c r="Q202" s="15"/>
    </row>
    <row r="203" spans="1:17" ht="28.05" customHeight="1">
      <c r="A203" s="40"/>
      <c r="B203" s="41"/>
      <c r="C203" s="224" t="str">
        <f t="shared" si="42"/>
        <v/>
      </c>
      <c r="D203" s="31"/>
      <c r="E203" s="224" t="str">
        <f>IF(B203="","",IFERROR(IF(INDEX('Imposed Load'!$B$16:$B$68,MATCH(B203,'Imposed Load'!$A$16:$A$68,0))="LL-SPECIAL","",INDEX('Imposed Load'!$C$16:$C$68,MATCH(B203,'Imposed Load'!$A$16:$A$68,0))),""))</f>
        <v/>
      </c>
      <c r="F203" s="31"/>
      <c r="G203" s="31"/>
      <c r="H203" s="216" t="str">
        <f t="shared" si="43"/>
        <v/>
      </c>
      <c r="I203" s="226" t="str">
        <f t="shared" si="44"/>
        <v/>
      </c>
      <c r="J203" s="216" t="str">
        <f t="shared" si="45"/>
        <v/>
      </c>
      <c r="K203" s="218" t="str">
        <f t="shared" si="46"/>
        <v/>
      </c>
      <c r="M203" s="15"/>
      <c r="N203" s="15"/>
      <c r="O203" s="15"/>
      <c r="P203" s="15"/>
      <c r="Q203" s="15"/>
    </row>
    <row r="204" spans="1:17" ht="28.05" customHeight="1">
      <c r="A204" s="42"/>
      <c r="B204" s="43"/>
      <c r="C204" s="225" t="str">
        <f t="shared" si="42"/>
        <v/>
      </c>
      <c r="D204" s="44"/>
      <c r="E204" s="225" t="str">
        <f>IF(B204="","",IFERROR(IF(INDEX('Imposed Load'!$B$16:$B$68,MATCH(B204,'Imposed Load'!$A$16:$A$68,0))="LL-SPECIAL","",INDEX('Imposed Load'!$C$16:$C$68,MATCH(B204,'Imposed Load'!$A$16:$A$68,0))),""))</f>
        <v/>
      </c>
      <c r="F204" s="44"/>
      <c r="G204" s="44"/>
      <c r="H204" s="217" t="str">
        <f t="shared" si="43"/>
        <v/>
      </c>
      <c r="I204" s="227" t="str">
        <f t="shared" si="44"/>
        <v/>
      </c>
      <c r="J204" s="217" t="str">
        <f t="shared" si="45"/>
        <v/>
      </c>
      <c r="K204" s="219" t="str">
        <f t="shared" si="46"/>
        <v/>
      </c>
      <c r="M204" s="15"/>
      <c r="N204" s="15"/>
      <c r="O204" s="15"/>
      <c r="P204" s="15"/>
      <c r="Q204" s="15"/>
    </row>
  </sheetData>
  <mergeCells count="4">
    <mergeCell ref="O1:T2"/>
    <mergeCell ref="O3:T3"/>
    <mergeCell ref="A1:K1"/>
    <mergeCell ref="A2:K3"/>
  </mergeCells>
  <phoneticPr fontId="10" type="noConversion"/>
  <dataValidations count="4">
    <dataValidation type="list" allowBlank="1" showInputMessage="1" showErrorMessage="1" sqref="A5:A204" xr:uid="{44A2CFAD-15BF-416F-BFE0-EBAB3D532EE3}">
      <formula1>TCIDs</formula1>
    </dataValidation>
    <dataValidation type="decimal" operator="greaterThanOrEqual" allowBlank="1" showInputMessage="1" showErrorMessage="1" error="Enter a non-negative factored total load in kN, or leave blank for automatic load." sqref="S5:S104" xr:uid="{50F5E357-BF28-4503-A1C3-3006693774EC}">
      <formula1>0</formula1>
    </dataValidation>
    <dataValidation type="decimal" operator="greaterThanOrEqual" allowBlank="1" showInputMessage="1" showErrorMessage="1" promptTitle="Manual SDL (kPa)" prompt="Enter SDL manually. Enter 0 if none." sqref="D5:D204" xr:uid="{7354DB8B-A270-48BD-B17C-1F0F6A9E0AD1}">
      <formula1>0</formula1>
    </dataValidation>
    <dataValidation type="list" allowBlank="1" showInputMessage="1" showErrorMessage="1" sqref="B5:B204" xr:uid="{0379B774-1192-41EA-ABD8-01487E200548}">
      <formula1>UsageOptions</formula1>
    </dataValidation>
  </dataValidations>
  <pageMargins left="0.7" right="0.7" top="0.75" bottom="0.75" header="0.3" footer="0.3"/>
  <pageSetup paperSize="9" scale="1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D7D78"/>
  </sheetPr>
  <dimension ref="A1:AP75"/>
  <sheetViews>
    <sheetView showGridLines="0" workbookViewId="0">
      <selection activeCell="P5" sqref="P5"/>
    </sheetView>
  </sheetViews>
  <sheetFormatPr defaultRowHeight="13.8"/>
  <cols>
    <col min="1" max="1" width="12" customWidth="1"/>
    <col min="2" max="3" width="11" customWidth="1"/>
    <col min="4" max="18" width="11.69921875" customWidth="1"/>
    <col min="19" max="20" width="11" customWidth="1"/>
    <col min="21" max="21" width="19.69921875" customWidth="1"/>
    <col min="22" max="22" width="23.69921875" customWidth="1"/>
    <col min="23" max="31" width="9" customWidth="1"/>
  </cols>
  <sheetData>
    <row r="1" spans="1:42" ht="30" customHeight="1">
      <c r="A1" s="452" t="s">
        <v>147</v>
      </c>
      <c r="B1" s="452"/>
      <c r="C1" s="452"/>
      <c r="D1" s="452"/>
      <c r="E1" s="452"/>
      <c r="F1" s="452"/>
      <c r="G1" s="452"/>
      <c r="H1" s="452"/>
      <c r="I1" s="452"/>
      <c r="J1" s="452"/>
      <c r="K1" s="452"/>
      <c r="L1" s="452"/>
      <c r="M1" s="440"/>
      <c r="N1" s="440"/>
      <c r="O1" s="440"/>
      <c r="P1" s="440"/>
      <c r="Q1" s="440"/>
      <c r="R1" s="440"/>
      <c r="S1" s="440"/>
      <c r="T1" s="440"/>
    </row>
    <row r="2" spans="1:42" ht="31.95" customHeight="1">
      <c r="A2" s="435" t="s">
        <v>1085</v>
      </c>
      <c r="B2" s="435"/>
      <c r="C2" s="435"/>
      <c r="D2" s="435"/>
      <c r="E2" s="435"/>
      <c r="F2" s="435"/>
      <c r="G2" s="435"/>
      <c r="H2" s="435"/>
      <c r="I2" s="435"/>
      <c r="J2" s="435"/>
      <c r="K2" s="435"/>
      <c r="L2" s="435"/>
      <c r="M2" s="404"/>
      <c r="N2" s="404"/>
      <c r="O2" s="404"/>
      <c r="P2" s="404"/>
      <c r="Q2" s="404"/>
      <c r="R2" s="404"/>
      <c r="S2" s="404"/>
      <c r="T2" s="404"/>
    </row>
    <row r="4" spans="1:42" ht="24" customHeight="1">
      <c r="A4" s="456" t="s">
        <v>1096</v>
      </c>
      <c r="B4" s="456"/>
      <c r="C4" s="456"/>
      <c r="D4" s="456"/>
      <c r="E4" s="456"/>
      <c r="F4" s="456"/>
      <c r="G4" s="456"/>
      <c r="H4" s="456"/>
      <c r="I4" s="456"/>
      <c r="J4" s="456"/>
      <c r="K4" s="456"/>
      <c r="L4" s="456"/>
      <c r="M4" s="456"/>
      <c r="N4" s="456"/>
      <c r="O4" s="456"/>
      <c r="P4" s="456"/>
      <c r="Q4" s="456"/>
      <c r="R4" s="456"/>
      <c r="S4" s="456"/>
      <c r="T4" s="456"/>
      <c r="U4" s="456"/>
      <c r="V4" s="456"/>
      <c r="W4" s="456"/>
      <c r="X4" s="456"/>
      <c r="Y4" s="456"/>
      <c r="Z4" s="456"/>
      <c r="AA4" s="456"/>
      <c r="AH4" s="453" t="s">
        <v>148</v>
      </c>
      <c r="AI4" s="453"/>
      <c r="AJ4" s="453"/>
      <c r="AK4" s="453"/>
      <c r="AL4" s="453"/>
      <c r="AM4" s="453"/>
      <c r="AN4" s="453"/>
      <c r="AO4" s="453"/>
      <c r="AP4" s="453"/>
    </row>
    <row r="5" spans="1:42" ht="46.05" customHeight="1">
      <c r="A5" s="24" t="s">
        <v>101</v>
      </c>
      <c r="B5" s="24" t="s">
        <v>103</v>
      </c>
      <c r="C5" s="24" t="s">
        <v>1017</v>
      </c>
      <c r="D5" s="24" t="s">
        <v>319</v>
      </c>
      <c r="E5" s="24" t="s">
        <v>149</v>
      </c>
      <c r="F5" s="24" t="s">
        <v>150</v>
      </c>
      <c r="G5" s="24" t="s">
        <v>320</v>
      </c>
      <c r="H5" s="24" t="s">
        <v>151</v>
      </c>
      <c r="I5" s="24" t="s">
        <v>152</v>
      </c>
      <c r="J5" s="24" t="s">
        <v>321</v>
      </c>
      <c r="K5" s="24" t="s">
        <v>153</v>
      </c>
      <c r="L5" s="24" t="s">
        <v>154</v>
      </c>
      <c r="M5" s="24" t="s">
        <v>322</v>
      </c>
      <c r="N5" s="24" t="s">
        <v>155</v>
      </c>
      <c r="O5" s="24" t="s">
        <v>156</v>
      </c>
      <c r="P5" s="24" t="s">
        <v>323</v>
      </c>
      <c r="Q5" s="24" t="s">
        <v>157</v>
      </c>
      <c r="R5" s="24" t="s">
        <v>158</v>
      </c>
      <c r="S5" s="24" t="s">
        <v>159</v>
      </c>
      <c r="T5" s="24" t="s">
        <v>207</v>
      </c>
      <c r="U5" s="24" t="s">
        <v>208</v>
      </c>
      <c r="V5" s="24" t="s">
        <v>104</v>
      </c>
      <c r="W5" s="24" t="s">
        <v>105</v>
      </c>
      <c r="X5" s="24" t="s">
        <v>160</v>
      </c>
      <c r="Y5" s="24" t="s">
        <v>161</v>
      </c>
      <c r="Z5" s="24" t="s">
        <v>343</v>
      </c>
      <c r="AA5" s="24" t="s">
        <v>1097</v>
      </c>
      <c r="AH5" s="454" t="s">
        <v>162</v>
      </c>
      <c r="AI5" s="454"/>
      <c r="AJ5" s="454"/>
      <c r="AK5" s="454"/>
      <c r="AL5" s="455">
        <v>6</v>
      </c>
      <c r="AM5" s="455"/>
      <c r="AN5" s="455"/>
      <c r="AO5" s="455"/>
      <c r="AP5" s="455"/>
    </row>
    <row r="6" spans="1:42" ht="19.95" customHeight="1">
      <c r="A6" s="25"/>
      <c r="B6" s="26"/>
      <c r="C6" s="181"/>
      <c r="D6" s="32"/>
      <c r="E6" s="229" t="str">
        <f>IF($D$6="","",IFERROR(IF(VLOOKUP($D$6,'Section A Transfer Column'!$O$5:$Q$104,3,FALSE)="OK",VLOOKUP($D$6,'Section A Transfer Column'!$O$5:$Q$104,2,FALSE),""),""))</f>
        <v/>
      </c>
      <c r="F6" s="27"/>
      <c r="G6" s="32"/>
      <c r="H6" s="229" t="str">
        <f>IF($G$6="","",IFERROR(IF(VLOOKUP($G$6,'Section A Transfer Column'!$O$5:$Q$104,3,FALSE)="OK",VLOOKUP($G$6,'Section A Transfer Column'!$O$5:$Q$104,2,FALSE),""),""))</f>
        <v/>
      </c>
      <c r="I6" s="27"/>
      <c r="J6" s="32"/>
      <c r="K6" s="229" t="str">
        <f>IF($J$6="","",IFERROR(IF(VLOOKUP($J$6,'Section A Transfer Column'!$O$5:$Q$104,3,FALSE)="OK",VLOOKUP($J$6,'Section A Transfer Column'!$O$5:$Q$104,2,FALSE),""),""))</f>
        <v/>
      </c>
      <c r="L6" s="28"/>
      <c r="M6" s="32"/>
      <c r="N6" s="230" t="str">
        <f>IF($M$6="","",IFERROR(IF(VLOOKUP($M$6,'Section A Transfer Column'!$O$5:$Q$104,3,FALSE)="OK",VLOOKUP($M$6,'Section A Transfer Column'!$O$5:$Q$104,2,FALSE),""),""))</f>
        <v/>
      </c>
      <c r="O6" s="29"/>
      <c r="P6" s="32"/>
      <c r="Q6" s="231" t="str">
        <f>IF($P$6="","",IFERROR(IF(VLOOKUP($P$6,'Section A Transfer Column'!$O$5:$Q$104,3,FALSE)="OK",VLOOKUP($P$6,'Section A Transfer Column'!$O$5:$Q$104,2,FALSE),""),""))</f>
        <v/>
      </c>
      <c r="R6" s="30"/>
      <c r="S6" s="232">
        <f t="shared" ref="S6:S25" si="0">IF(L29="UNUSED",0,IF(L29="OK",K29,""))</f>
        <v>0</v>
      </c>
      <c r="T6" s="224">
        <v>1</v>
      </c>
      <c r="U6" s="238" t="s">
        <v>202</v>
      </c>
      <c r="V6" s="232" t="str">
        <f t="shared" ref="V6:V25" si="1">IF(OR(B6="",C6="",U6="",B6&lt;=0,C6&lt;=0),"",B6*1000/C6*IF(AND(B6&gt;10.001,U6&lt;&gt;"Cantilever"),B6/10,1))</f>
        <v/>
      </c>
      <c r="W6" s="232">
        <f>IFERROR(VLOOKUP(U6,'Section A Beam Slab'!$K$6:$L$9,2,FALSE),"")</f>
        <v>23</v>
      </c>
      <c r="X6" s="202" t="str">
        <f t="shared" ref="X6:X25" si="2">IF(OR(B6="",C6="",W6=""),"",IF(OR(B6&lt;=0,C6&lt;=0),"INPUT REQUIRED",IF(AND(U6="Cantilever",B6&gt;10.001),"CALC. REQUIRED",IF(V6&lt;=W6,"OKAY","NOT OKAY"))))</f>
        <v/>
      </c>
      <c r="Y6" s="202" t="str">
        <f>IF(COUNTIF(RCLoadResults73[Member],A6),IF(OR(COUNT(B6,C6,T6,Z6)&lt;&gt;4,MIN(B6,C6,T6,Z6)&lt;=0),"INPUT REQUIRED",IF(INDEX(RCLoadResults73[Status],MATCH(A6,RCLoadResults73[Member],0))&lt;&gt;"OK","INPUT REQUIRED",IF(AI27&lt;=AJ27,"OKAY","NOT OKAY"))),IF(L29="INPUT REQUIRED","INPUT REQUIRED",IF(AND(A6&lt;&gt;"",OR(AND($D$6&lt;&gt;"",AND(IFERROR(VLOOKUP($D$6,'Section A Transfer Column'!$O$5:$Q$104,3,FALSE),"BAD")&lt;&gt;"OK",IFERROR(VLOOKUP($D$6,'Section A Transfer Column'!$O$5:$Q$104,3,FALSE),"BAD")&lt;&gt;"UNUSED")),AND($G$6&lt;&gt;"",AND(IFERROR(VLOOKUP($G$6,'Section A Transfer Column'!$O$5:$Q$104,3,FALSE),"BAD")&lt;&gt;"OK",IFERROR(VLOOKUP($G$6,'Section A Transfer Column'!$O$5:$Q$104,3,FALSE),"BAD")&lt;&gt;"UNUSED")),AND($J$6&lt;&gt;"",AND(IFERROR(VLOOKUP($J$6,'Section A Transfer Column'!$O$5:$Q$104,3,FALSE),"BAD")&lt;&gt;"OK",IFERROR(VLOOKUP($J$6,'Section A Transfer Column'!$O$5:$Q$104,3,FALSE),"BAD")&lt;&gt;"UNUSED")),AND($M$6&lt;&gt;"",AND(IFERROR(VLOOKUP($M$6,'Section A Transfer Column'!$O$5:$Q$104,3,FALSE),"BAD")&lt;&gt;"OK",IFERROR(VLOOKUP($M$6,'Section A Transfer Column'!$O$5:$Q$104,3,FALSE),"BAD")&lt;&gt;"UNUSED")),AND($P$6&lt;&gt;"",AND(IFERROR(VLOOKUP($P$6,'Section A Transfer Column'!$O$5:$Q$104,3,FALSE),"BAD")&lt;&gt;"OK",IFERROR(VLOOKUP($P$6,'Section A Transfer Column'!$O$5:$Q$104,3,FALSE),"BAD")&lt;&gt;"UNUSED")))),"INPUT REQUIRED",IF($A6="","",IF(OR($B6="",$B6&lt;=0,$C6="",$C6&lt;=0,$T6="",$T6&lt;=0,$Z6="",$Z6&lt;=0,OR(AND($E6&lt;&gt;"",$F6=""),AND($E6="",$F6&lt;&gt;""),AND($E6&lt;&gt;"",OR($F6&lt;0,$F6&gt;$B6))),OR(AND($H6&lt;&gt;"",$I6=""),AND($H6="",$I6&lt;&gt;""),AND($H6&lt;&gt;"",OR($I6&lt;0,$I6&gt;$B6))),OR(AND($K6&lt;&gt;"",$L6=""),AND($K6="",$L6&lt;&gt;""),AND($K6&lt;&gt;"",OR($L6&lt;0,$L6&gt;$B6))),OR(AND($N6&lt;&gt;"",$O6=""),AND($N6="",$O6&lt;&gt;""),AND($N6&lt;&gt;"",OR($O6&lt;0,$O6&gt;$B6))),OR(AND($Q6&lt;&gt;"",$R6=""),AND($Q6="",$R6&lt;&gt;""),AND($Q6&lt;&gt;"",OR($R6&lt;0,$R6&gt;$B6))),AND($E6="",$H6="",$K6="",$N6="",$Q6="",$S6=0)),"INPUT REQUIRED",IF(AI27&lt;=AJ27,"OKAY","NOT OKAY"))))))</f>
        <v/>
      </c>
      <c r="Z6" s="378">
        <f>IF(Input!$C$5="","",Input!$C$5)</f>
        <v>60</v>
      </c>
      <c r="AA6" s="233" t="str">
        <f>IF(A6="","",IF(ROW()='Section B Transfer Beam Check'!$T$13,'Section B Transfer Beam Check'!$R$40,IF('_TB Analysis'!BA6="","NOT CHECKED",IF('_TB Analysis'!BA6='_TB Analysis'!BB6,'_TB Analysis'!BC6,"INPUTS CHANGED"))))</f>
        <v/>
      </c>
    </row>
    <row r="7" spans="1:42" ht="24" customHeight="1">
      <c r="A7" s="25"/>
      <c r="B7" s="26"/>
      <c r="C7" s="181"/>
      <c r="D7" s="32"/>
      <c r="E7" s="229" t="str">
        <f>IF($D$7="","",IFERROR(IF(VLOOKUP($D$7,'Section A Transfer Column'!$O$5:$Q$104,3,FALSE)="OK",VLOOKUP($D$7,'Section A Transfer Column'!$O$5:$Q$104,2,FALSE),""),""))</f>
        <v/>
      </c>
      <c r="F7" s="27"/>
      <c r="G7" s="32"/>
      <c r="H7" s="229" t="str">
        <f>IF($G$7="","",IFERROR(IF(VLOOKUP($G$7,'Section A Transfer Column'!$O$5:$Q$104,3,FALSE)="OK",VLOOKUP($G$7,'Section A Transfer Column'!$O$5:$Q$104,2,FALSE),""),""))</f>
        <v/>
      </c>
      <c r="I7" s="27"/>
      <c r="J7" s="32"/>
      <c r="K7" s="229" t="str">
        <f>IF($J$7="","",IFERROR(IF(VLOOKUP($J$7,'Section A Transfer Column'!$O$5:$Q$104,3,FALSE)="OK",VLOOKUP($J$7,'Section A Transfer Column'!$O$5:$Q$104,2,FALSE),""),""))</f>
        <v/>
      </c>
      <c r="L7" s="28"/>
      <c r="M7" s="32"/>
      <c r="N7" s="230" t="str">
        <f>IF($M$7="","",IFERROR(IF(VLOOKUP($M$7,'Section A Transfer Column'!$O$5:$Q$104,3,FALSE)="OK",VLOOKUP($M$7,'Section A Transfer Column'!$O$5:$Q$104,2,FALSE),""),""))</f>
        <v/>
      </c>
      <c r="O7" s="29"/>
      <c r="P7" s="32"/>
      <c r="Q7" s="231" t="str">
        <f>IF($P$7="","",IFERROR(IF(VLOOKUP($P$7,'Section A Transfer Column'!$O$5:$Q$104,3,FALSE)="OK",VLOOKUP($P$7,'Section A Transfer Column'!$O$5:$Q$104,2,FALSE),""),""))</f>
        <v/>
      </c>
      <c r="R7" s="30"/>
      <c r="S7" s="232">
        <f t="shared" si="0"/>
        <v>0</v>
      </c>
      <c r="T7" s="224">
        <v>1</v>
      </c>
      <c r="U7" s="238" t="s">
        <v>202</v>
      </c>
      <c r="V7" s="232" t="str">
        <f t="shared" si="1"/>
        <v/>
      </c>
      <c r="W7" s="232">
        <f>IFERROR(VLOOKUP(U7,'Section A Beam Slab'!$K$6:$L$9,2,FALSE),"")</f>
        <v>23</v>
      </c>
      <c r="X7" s="202" t="str">
        <f t="shared" si="2"/>
        <v/>
      </c>
      <c r="Y7" s="202" t="str">
        <f>IF(COUNTIF(RCLoadResults73[Member],A7),IF(OR(COUNT(B7,C7,T7,Z7)&lt;&gt;4,MIN(B7,C7,T7,Z7)&lt;=0),"INPUT REQUIRED",IF(INDEX(RCLoadResults73[Status],MATCH(A7,RCLoadResults73[Member],0))&lt;&gt;"OK","INPUT REQUIRED",IF(AI28&lt;=AJ28,"OKAY","NOT OKAY"))),IF(L30="INPUT REQUIRED","INPUT REQUIRED",IF(AND(A7&lt;&gt;"",OR(AND($D$7&lt;&gt;"",AND(IFERROR(VLOOKUP($D$7,'Section A Transfer Column'!$O$5:$Q$104,3,FALSE),"BAD")&lt;&gt;"OK",IFERROR(VLOOKUP($D$7,'Section A Transfer Column'!$O$5:$Q$104,3,FALSE),"BAD")&lt;&gt;"UNUSED")),AND($G$7&lt;&gt;"",AND(IFERROR(VLOOKUP($G$7,'Section A Transfer Column'!$O$5:$Q$104,3,FALSE),"BAD")&lt;&gt;"OK",IFERROR(VLOOKUP($G$7,'Section A Transfer Column'!$O$5:$Q$104,3,FALSE),"BAD")&lt;&gt;"UNUSED")),AND($J$7&lt;&gt;"",AND(IFERROR(VLOOKUP($J$7,'Section A Transfer Column'!$O$5:$Q$104,3,FALSE),"BAD")&lt;&gt;"OK",IFERROR(VLOOKUP($J$7,'Section A Transfer Column'!$O$5:$Q$104,3,FALSE),"BAD")&lt;&gt;"UNUSED")),AND($M$7&lt;&gt;"",AND(IFERROR(VLOOKUP($M$7,'Section A Transfer Column'!$O$5:$Q$104,3,FALSE),"BAD")&lt;&gt;"OK",IFERROR(VLOOKUP($M$7,'Section A Transfer Column'!$O$5:$Q$104,3,FALSE),"BAD")&lt;&gt;"UNUSED")),AND($P$7&lt;&gt;"",AND(IFERROR(VLOOKUP($P$7,'Section A Transfer Column'!$O$5:$Q$104,3,FALSE),"BAD")&lt;&gt;"OK",IFERROR(VLOOKUP($P$7,'Section A Transfer Column'!$O$5:$Q$104,3,FALSE),"BAD")&lt;&gt;"UNUSED")))),"INPUT REQUIRED",IF($A7="","",IF(OR($B7="",$B7&lt;=0,$C7="",$C7&lt;=0,$T7="",$T7&lt;=0,$Z7="",$Z7&lt;=0,OR(AND($E7&lt;&gt;"",$F7=""),AND($E7="",$F7&lt;&gt;""),AND($E7&lt;&gt;"",OR($F7&lt;0,$F7&gt;$B7))),OR(AND($H7&lt;&gt;"",$I7=""),AND($H7="",$I7&lt;&gt;""),AND($H7&lt;&gt;"",OR($I7&lt;0,$I7&gt;$B7))),OR(AND($K7&lt;&gt;"",$L7=""),AND($K7="",$L7&lt;&gt;""),AND($K7&lt;&gt;"",OR($L7&lt;0,$L7&gt;$B7))),OR(AND($N7&lt;&gt;"",$O7=""),AND($N7="",$O7&lt;&gt;""),AND($N7&lt;&gt;"",OR($O7&lt;0,$O7&gt;$B7))),OR(AND($Q7&lt;&gt;"",$R7=""),AND($Q7="",$R7&lt;&gt;""),AND($Q7&lt;&gt;"",OR($R7&lt;0,$R7&gt;$B7))),AND($E7="",$H7="",$K7="",$N7="",$Q7="",$S7=0)),"INPUT REQUIRED",IF(AI28&lt;=AJ28,"OKAY","NOT OKAY"))))))</f>
        <v/>
      </c>
      <c r="Z7" s="378">
        <f>IF(Input!$C$5="","",Input!$C$5)</f>
        <v>60</v>
      </c>
      <c r="AA7" s="233" t="str">
        <f>IF(A7="","",IF(ROW()='Section B Transfer Beam Check'!$T$13,'Section B Transfer Beam Check'!$R$40,IF('_TB Analysis'!BA7="","NOT CHECKED",IF('_TB Analysis'!BA7='_TB Analysis'!BB7,'_TB Analysis'!BC7,"INPUTS CHANGED"))))</f>
        <v/>
      </c>
    </row>
    <row r="8" spans="1:42" ht="19.95" customHeight="1">
      <c r="A8" s="25"/>
      <c r="B8" s="26"/>
      <c r="C8" s="181"/>
      <c r="D8" s="32"/>
      <c r="E8" s="229" t="str">
        <f>IF($D$8="","",IFERROR(IF(VLOOKUP($D$8,'Section A Transfer Column'!$O$5:$Q$104,3,FALSE)="OK",VLOOKUP($D$8,'Section A Transfer Column'!$O$5:$Q$104,2,FALSE),""),""))</f>
        <v/>
      </c>
      <c r="F8" s="27"/>
      <c r="G8" s="32"/>
      <c r="H8" s="229" t="str">
        <f>IF($G$8="","",IFERROR(IF(VLOOKUP($G$8,'Section A Transfer Column'!$O$5:$Q$104,3,FALSE)="OK",VLOOKUP($G$8,'Section A Transfer Column'!$O$5:$Q$104,2,FALSE),""),""))</f>
        <v/>
      </c>
      <c r="I8" s="27"/>
      <c r="J8" s="32"/>
      <c r="K8" s="229" t="str">
        <f>IF($J$8="","",IFERROR(IF(VLOOKUP($J$8,'Section A Transfer Column'!$O$5:$Q$104,3,FALSE)="OK",VLOOKUP($J$8,'Section A Transfer Column'!$O$5:$Q$104,2,FALSE),""),""))</f>
        <v/>
      </c>
      <c r="L8" s="28"/>
      <c r="M8" s="32"/>
      <c r="N8" s="230" t="str">
        <f>IF($M$8="","",IFERROR(IF(VLOOKUP($M$8,'Section A Transfer Column'!$O$5:$Q$104,3,FALSE)="OK",VLOOKUP($M$8,'Section A Transfer Column'!$O$5:$Q$104,2,FALSE),""),""))</f>
        <v/>
      </c>
      <c r="O8" s="29"/>
      <c r="P8" s="32"/>
      <c r="Q8" s="231" t="str">
        <f>IF($P$8="","",IFERROR(IF(VLOOKUP($P$8,'Section A Transfer Column'!$O$5:$Q$104,3,FALSE)="OK",VLOOKUP($P$8,'Section A Transfer Column'!$O$5:$Q$104,2,FALSE),""),""))</f>
        <v/>
      </c>
      <c r="R8" s="30"/>
      <c r="S8" s="232">
        <f t="shared" si="0"/>
        <v>0</v>
      </c>
      <c r="T8" s="224">
        <v>1</v>
      </c>
      <c r="U8" s="238" t="s">
        <v>202</v>
      </c>
      <c r="V8" s="232" t="str">
        <f t="shared" si="1"/>
        <v/>
      </c>
      <c r="W8" s="232">
        <f>IFERROR(VLOOKUP(U8,'Section A Beam Slab'!$K$6:$L$9,2,FALSE),"")</f>
        <v>23</v>
      </c>
      <c r="X8" s="202" t="str">
        <f t="shared" si="2"/>
        <v/>
      </c>
      <c r="Y8" s="202" t="str">
        <f>IF(COUNTIF(RCLoadResults73[Member],A8),IF(OR(COUNT(B8,C8,T8,Z8)&lt;&gt;4,MIN(B8,C8,T8,Z8)&lt;=0),"INPUT REQUIRED",IF(INDEX(RCLoadResults73[Status],MATCH(A8,RCLoadResults73[Member],0))&lt;&gt;"OK","INPUT REQUIRED",IF(AI29&lt;=AJ29,"OKAY","NOT OKAY"))),IF(L31="INPUT REQUIRED","INPUT REQUIRED",IF(AND(A8&lt;&gt;"",OR(AND($D$8&lt;&gt;"",AND(IFERROR(VLOOKUP($D$8,'Section A Transfer Column'!$O$5:$Q$104,3,FALSE),"BAD")&lt;&gt;"OK",IFERROR(VLOOKUP($D$8,'Section A Transfer Column'!$O$5:$Q$104,3,FALSE),"BAD")&lt;&gt;"UNUSED")),AND($G$8&lt;&gt;"",AND(IFERROR(VLOOKUP($G$8,'Section A Transfer Column'!$O$5:$Q$104,3,FALSE),"BAD")&lt;&gt;"OK",IFERROR(VLOOKUP($G$8,'Section A Transfer Column'!$O$5:$Q$104,3,FALSE),"BAD")&lt;&gt;"UNUSED")),AND($J$8&lt;&gt;"",AND(IFERROR(VLOOKUP($J$8,'Section A Transfer Column'!$O$5:$Q$104,3,FALSE),"BAD")&lt;&gt;"OK",IFERROR(VLOOKUP($J$8,'Section A Transfer Column'!$O$5:$Q$104,3,FALSE),"BAD")&lt;&gt;"UNUSED")),AND($M$8&lt;&gt;"",AND(IFERROR(VLOOKUP($M$8,'Section A Transfer Column'!$O$5:$Q$104,3,FALSE),"BAD")&lt;&gt;"OK",IFERROR(VLOOKUP($M$8,'Section A Transfer Column'!$O$5:$Q$104,3,FALSE),"BAD")&lt;&gt;"UNUSED")),AND($P$8&lt;&gt;"",AND(IFERROR(VLOOKUP($P$8,'Section A Transfer Column'!$O$5:$Q$104,3,FALSE),"BAD")&lt;&gt;"OK",IFERROR(VLOOKUP($P$8,'Section A Transfer Column'!$O$5:$Q$104,3,FALSE),"BAD")&lt;&gt;"UNUSED")))),"INPUT REQUIRED",IF($A8="","",IF(OR($B8="",$B8&lt;=0,$C8="",$C8&lt;=0,$T8="",$T8&lt;=0,$Z8="",$Z8&lt;=0,OR(AND($E8&lt;&gt;"",$F8=""),AND($E8="",$F8&lt;&gt;""),AND($E8&lt;&gt;"",OR($F8&lt;0,$F8&gt;$B8))),OR(AND($H8&lt;&gt;"",$I8=""),AND($H8="",$I8&lt;&gt;""),AND($H8&lt;&gt;"",OR($I8&lt;0,$I8&gt;$B8))),OR(AND($K8&lt;&gt;"",$L8=""),AND($K8="",$L8&lt;&gt;""),AND($K8&lt;&gt;"",OR($L8&lt;0,$L8&gt;$B8))),OR(AND($N8&lt;&gt;"",$O8=""),AND($N8="",$O8&lt;&gt;""),AND($N8&lt;&gt;"",OR($O8&lt;0,$O8&gt;$B8))),OR(AND($Q8&lt;&gt;"",$R8=""),AND($Q8="",$R8&lt;&gt;""),AND($Q8&lt;&gt;"",OR($R8&lt;0,$R8&gt;$B8))),AND($E8="",$H8="",$K8="",$N8="",$Q8="",$S8=0)),"INPUT REQUIRED",IF(AI29&lt;=AJ29,"OKAY","NOT OKAY"))))))</f>
        <v/>
      </c>
      <c r="Z8" s="378">
        <f>IF(Input!$C$5="","",Input!$C$5)</f>
        <v>60</v>
      </c>
      <c r="AA8" s="233" t="str">
        <f>IF(A8="","",IF(ROW()='Section B Transfer Beam Check'!$T$13,'Section B Transfer Beam Check'!$R$40,IF('_TB Analysis'!BA8="","NOT CHECKED",IF('_TB Analysis'!BA8='_TB Analysis'!BB8,'_TB Analysis'!BC8,"INPUTS CHANGED"))))</f>
        <v/>
      </c>
    </row>
    <row r="9" spans="1:42" ht="24" customHeight="1">
      <c r="A9" s="25"/>
      <c r="B9" s="26"/>
      <c r="C9" s="181"/>
      <c r="D9" s="32"/>
      <c r="E9" s="229" t="str">
        <f>IF($D$9="","",IFERROR(IF(VLOOKUP($D$9,'Section A Transfer Column'!$O$5:$Q$104,3,FALSE)="OK",VLOOKUP($D$9,'Section A Transfer Column'!$O$5:$Q$104,2,FALSE),""),""))</f>
        <v/>
      </c>
      <c r="F9" s="27"/>
      <c r="G9" s="32"/>
      <c r="H9" s="229" t="str">
        <f>IF($G$9="","",IFERROR(IF(VLOOKUP($G$9,'Section A Transfer Column'!$O$5:$Q$104,3,FALSE)="OK",VLOOKUP($G$9,'Section A Transfer Column'!$O$5:$Q$104,2,FALSE),""),""))</f>
        <v/>
      </c>
      <c r="I9" s="27"/>
      <c r="J9" s="32"/>
      <c r="K9" s="229" t="str">
        <f>IF($J$9="","",IFERROR(IF(VLOOKUP($J$9,'Section A Transfer Column'!$O$5:$Q$104,3,FALSE)="OK",VLOOKUP($J$9,'Section A Transfer Column'!$O$5:$Q$104,2,FALSE),""),""))</f>
        <v/>
      </c>
      <c r="L9" s="28"/>
      <c r="M9" s="32"/>
      <c r="N9" s="230" t="str">
        <f>IF($M$9="","",IFERROR(IF(VLOOKUP($M$9,'Section A Transfer Column'!$O$5:$Q$104,3,FALSE)="OK",VLOOKUP($M$9,'Section A Transfer Column'!$O$5:$Q$104,2,FALSE),""),""))</f>
        <v/>
      </c>
      <c r="O9" s="29"/>
      <c r="P9" s="32"/>
      <c r="Q9" s="231" t="str">
        <f>IF($P$9="","",IFERROR(IF(VLOOKUP($P$9,'Section A Transfer Column'!$O$5:$Q$104,3,FALSE)="OK",VLOOKUP($P$9,'Section A Transfer Column'!$O$5:$Q$104,2,FALSE),""),""))</f>
        <v/>
      </c>
      <c r="R9" s="30"/>
      <c r="S9" s="232">
        <f t="shared" si="0"/>
        <v>0</v>
      </c>
      <c r="T9" s="224">
        <v>1</v>
      </c>
      <c r="U9" s="238" t="s">
        <v>202</v>
      </c>
      <c r="V9" s="232" t="str">
        <f t="shared" si="1"/>
        <v/>
      </c>
      <c r="W9" s="232">
        <f>IFERROR(VLOOKUP(U9,'Section A Beam Slab'!$K$6:$L$9,2,FALSE),"")</f>
        <v>23</v>
      </c>
      <c r="X9" s="202" t="str">
        <f t="shared" si="2"/>
        <v/>
      </c>
      <c r="Y9" s="202" t="str">
        <f>IF(COUNTIF(RCLoadResults73[Member],A9),IF(OR(COUNT(B9,C9,T9,Z9)&lt;&gt;4,MIN(B9,C9,T9,Z9)&lt;=0),"INPUT REQUIRED",IF(INDEX(RCLoadResults73[Status],MATCH(A9,RCLoadResults73[Member],0))&lt;&gt;"OK","INPUT REQUIRED",IF(AI30&lt;=AJ30,"OKAY","NOT OKAY"))),IF(L32="INPUT REQUIRED","INPUT REQUIRED",IF(AND(A9&lt;&gt;"",OR(AND($D$9&lt;&gt;"",AND(IFERROR(VLOOKUP($D$9,'Section A Transfer Column'!$O$5:$Q$104,3,FALSE),"BAD")&lt;&gt;"OK",IFERROR(VLOOKUP($D$9,'Section A Transfer Column'!$O$5:$Q$104,3,FALSE),"BAD")&lt;&gt;"UNUSED")),AND($G$9&lt;&gt;"",AND(IFERROR(VLOOKUP($G$9,'Section A Transfer Column'!$O$5:$Q$104,3,FALSE),"BAD")&lt;&gt;"OK",IFERROR(VLOOKUP($G$9,'Section A Transfer Column'!$O$5:$Q$104,3,FALSE),"BAD")&lt;&gt;"UNUSED")),AND($J$9&lt;&gt;"",AND(IFERROR(VLOOKUP($J$9,'Section A Transfer Column'!$O$5:$Q$104,3,FALSE),"BAD")&lt;&gt;"OK",IFERROR(VLOOKUP($J$9,'Section A Transfer Column'!$O$5:$Q$104,3,FALSE),"BAD")&lt;&gt;"UNUSED")),AND($M$9&lt;&gt;"",AND(IFERROR(VLOOKUP($M$9,'Section A Transfer Column'!$O$5:$Q$104,3,FALSE),"BAD")&lt;&gt;"OK",IFERROR(VLOOKUP($M$9,'Section A Transfer Column'!$O$5:$Q$104,3,FALSE),"BAD")&lt;&gt;"UNUSED")),AND($P$9&lt;&gt;"",AND(IFERROR(VLOOKUP($P$9,'Section A Transfer Column'!$O$5:$Q$104,3,FALSE),"BAD")&lt;&gt;"OK",IFERROR(VLOOKUP($P$9,'Section A Transfer Column'!$O$5:$Q$104,3,FALSE),"BAD")&lt;&gt;"UNUSED")))),"INPUT REQUIRED",IF($A9="","",IF(OR($B9="",$B9&lt;=0,$C9="",$C9&lt;=0,$T9="",$T9&lt;=0,$Z9="",$Z9&lt;=0,OR(AND($E9&lt;&gt;"",$F9=""),AND($E9="",$F9&lt;&gt;""),AND($E9&lt;&gt;"",OR($F9&lt;0,$F9&gt;$B9))),OR(AND($H9&lt;&gt;"",$I9=""),AND($H9="",$I9&lt;&gt;""),AND($H9&lt;&gt;"",OR($I9&lt;0,$I9&gt;$B9))),OR(AND($K9&lt;&gt;"",$L9=""),AND($K9="",$L9&lt;&gt;""),AND($K9&lt;&gt;"",OR($L9&lt;0,$L9&gt;$B9))),OR(AND($N9&lt;&gt;"",$O9=""),AND($N9="",$O9&lt;&gt;""),AND($N9&lt;&gt;"",OR($O9&lt;0,$O9&gt;$B9))),OR(AND($Q9&lt;&gt;"",$R9=""),AND($Q9="",$R9&lt;&gt;""),AND($Q9&lt;&gt;"",OR($R9&lt;0,$R9&gt;$B9))),AND($E9="",$H9="",$K9="",$N9="",$Q9="",$S9=0)),"INPUT REQUIRED",IF(AI30&lt;=AJ30,"OKAY","NOT OKAY"))))))</f>
        <v/>
      </c>
      <c r="Z9" s="378">
        <f>IF(Input!$C$5="","",Input!$C$5)</f>
        <v>60</v>
      </c>
      <c r="AA9" s="233" t="str">
        <f>IF(A9="","",IF(ROW()='Section B Transfer Beam Check'!$T$13,'Section B Transfer Beam Check'!$R$40,IF('_TB Analysis'!BA9="","NOT CHECKED",IF('_TB Analysis'!BA9='_TB Analysis'!BB9,'_TB Analysis'!BC9,"INPUTS CHANGED"))))</f>
        <v/>
      </c>
    </row>
    <row r="10" spans="1:42" ht="19.95" customHeight="1">
      <c r="A10" s="25"/>
      <c r="B10" s="26"/>
      <c r="C10" s="181"/>
      <c r="D10" s="32"/>
      <c r="E10" s="229" t="str">
        <f>IF($D$10="","",IFERROR(IF(VLOOKUP($D$10,'Section A Transfer Column'!$O$5:$Q$104,3,FALSE)="OK",VLOOKUP($D$10,'Section A Transfer Column'!$O$5:$Q$104,2,FALSE),""),""))</f>
        <v/>
      </c>
      <c r="F10" s="27"/>
      <c r="G10" s="32"/>
      <c r="H10" s="229" t="str">
        <f>IF($G$10="","",IFERROR(IF(VLOOKUP($G$10,'Section A Transfer Column'!$O$5:$Q$104,3,FALSE)="OK",VLOOKUP($G$10,'Section A Transfer Column'!$O$5:$Q$104,2,FALSE),""),""))</f>
        <v/>
      </c>
      <c r="I10" s="27"/>
      <c r="J10" s="32"/>
      <c r="K10" s="229" t="str">
        <f>IF($J$10="","",IFERROR(IF(VLOOKUP($J$10,'Section A Transfer Column'!$O$5:$Q$104,3,FALSE)="OK",VLOOKUP($J$10,'Section A Transfer Column'!$O$5:$Q$104,2,FALSE),""),""))</f>
        <v/>
      </c>
      <c r="L10" s="28"/>
      <c r="M10" s="32"/>
      <c r="N10" s="230" t="str">
        <f>IF($M$10="","",IFERROR(IF(VLOOKUP($M$10,'Section A Transfer Column'!$O$5:$Q$104,3,FALSE)="OK",VLOOKUP($M$10,'Section A Transfer Column'!$O$5:$Q$104,2,FALSE),""),""))</f>
        <v/>
      </c>
      <c r="O10" s="29"/>
      <c r="P10" s="32"/>
      <c r="Q10" s="231" t="str">
        <f>IF($P$10="","",IFERROR(IF(VLOOKUP($P$10,'Section A Transfer Column'!$O$5:$Q$104,3,FALSE)="OK",VLOOKUP($P$10,'Section A Transfer Column'!$O$5:$Q$104,2,FALSE),""),""))</f>
        <v/>
      </c>
      <c r="R10" s="30"/>
      <c r="S10" s="232">
        <f t="shared" si="0"/>
        <v>0</v>
      </c>
      <c r="T10" s="224">
        <v>1</v>
      </c>
      <c r="U10" s="238" t="s">
        <v>202</v>
      </c>
      <c r="V10" s="232" t="str">
        <f t="shared" si="1"/>
        <v/>
      </c>
      <c r="W10" s="232">
        <f>IFERROR(VLOOKUP(U10,'Section A Beam Slab'!$K$6:$L$9,2,FALSE),"")</f>
        <v>23</v>
      </c>
      <c r="X10" s="202" t="str">
        <f t="shared" si="2"/>
        <v/>
      </c>
      <c r="Y10" s="202" t="str">
        <f>IF(COUNTIF(RCLoadResults73[Member],A10),IF(OR(COUNT(B10,C10,T10,Z10)&lt;&gt;4,MIN(B10,C10,T10,Z10)&lt;=0),"INPUT REQUIRED",IF(INDEX(RCLoadResults73[Status],MATCH(A10,RCLoadResults73[Member],0))&lt;&gt;"OK","INPUT REQUIRED",IF(AI31&lt;=AJ31,"OKAY","NOT OKAY"))),IF(L33="INPUT REQUIRED","INPUT REQUIRED",IF(AND(A10&lt;&gt;"",OR(AND($D$10&lt;&gt;"",AND(IFERROR(VLOOKUP($D$10,'Section A Transfer Column'!$O$5:$Q$104,3,FALSE),"BAD")&lt;&gt;"OK",IFERROR(VLOOKUP($D$10,'Section A Transfer Column'!$O$5:$Q$104,3,FALSE),"BAD")&lt;&gt;"UNUSED")),AND($G$10&lt;&gt;"",AND(IFERROR(VLOOKUP($G$10,'Section A Transfer Column'!$O$5:$Q$104,3,FALSE),"BAD")&lt;&gt;"OK",IFERROR(VLOOKUP($G$10,'Section A Transfer Column'!$O$5:$Q$104,3,FALSE),"BAD")&lt;&gt;"UNUSED")),AND($J$10&lt;&gt;"",AND(IFERROR(VLOOKUP($J$10,'Section A Transfer Column'!$O$5:$Q$104,3,FALSE),"BAD")&lt;&gt;"OK",IFERROR(VLOOKUP($J$10,'Section A Transfer Column'!$O$5:$Q$104,3,FALSE),"BAD")&lt;&gt;"UNUSED")),AND($M$10&lt;&gt;"",AND(IFERROR(VLOOKUP($M$10,'Section A Transfer Column'!$O$5:$Q$104,3,FALSE),"BAD")&lt;&gt;"OK",IFERROR(VLOOKUP($M$10,'Section A Transfer Column'!$O$5:$Q$104,3,FALSE),"BAD")&lt;&gt;"UNUSED")),AND($P$10&lt;&gt;"",AND(IFERROR(VLOOKUP($P$10,'Section A Transfer Column'!$O$5:$Q$104,3,FALSE),"BAD")&lt;&gt;"OK",IFERROR(VLOOKUP($P$10,'Section A Transfer Column'!$O$5:$Q$104,3,FALSE),"BAD")&lt;&gt;"UNUSED")))),"INPUT REQUIRED",IF($A10="","",IF(OR($B10="",$B10&lt;=0,$C10="",$C10&lt;=0,$T10="",$T10&lt;=0,$Z10="",$Z10&lt;=0,OR(AND($E10&lt;&gt;"",$F10=""),AND($E10="",$F10&lt;&gt;""),AND($E10&lt;&gt;"",OR($F10&lt;0,$F10&gt;$B10))),OR(AND($H10&lt;&gt;"",$I10=""),AND($H10="",$I10&lt;&gt;""),AND($H10&lt;&gt;"",OR($I10&lt;0,$I10&gt;$B10))),OR(AND($K10&lt;&gt;"",$L10=""),AND($K10="",$L10&lt;&gt;""),AND($K10&lt;&gt;"",OR($L10&lt;0,$L10&gt;$B10))),OR(AND($N10&lt;&gt;"",$O10=""),AND($N10="",$O10&lt;&gt;""),AND($N10&lt;&gt;"",OR($O10&lt;0,$O10&gt;$B10))),OR(AND($Q10&lt;&gt;"",$R10=""),AND($Q10="",$R10&lt;&gt;""),AND($Q10&lt;&gt;"",OR($R10&lt;0,$R10&gt;$B10))),AND($E10="",$H10="",$K10="",$N10="",$Q10="",$S10=0)),"INPUT REQUIRED",IF(AI31&lt;=AJ31,"OKAY","NOT OKAY"))))))</f>
        <v/>
      </c>
      <c r="Z10" s="378">
        <f>IF(Input!$C$5="","",Input!$C$5)</f>
        <v>60</v>
      </c>
      <c r="AA10" s="233" t="str">
        <f>IF(A10="","",IF(ROW()='Section B Transfer Beam Check'!$T$13,'Section B Transfer Beam Check'!$R$40,IF('_TB Analysis'!BA10="","NOT CHECKED",IF('_TB Analysis'!BA10='_TB Analysis'!BB10,'_TB Analysis'!BC10,"INPUTS CHANGED"))))</f>
        <v/>
      </c>
    </row>
    <row r="11" spans="1:42" ht="24" customHeight="1">
      <c r="A11" s="25"/>
      <c r="B11" s="26"/>
      <c r="C11" s="181"/>
      <c r="D11" s="32"/>
      <c r="E11" s="229" t="str">
        <f>IF($D$11="","",IFERROR(IF(VLOOKUP($D$11,'Section A Transfer Column'!$O$5:$Q$104,3,FALSE)="OK",VLOOKUP($D$11,'Section A Transfer Column'!$O$5:$Q$104,2,FALSE),""),""))</f>
        <v/>
      </c>
      <c r="F11" s="27"/>
      <c r="G11" s="32"/>
      <c r="H11" s="229" t="str">
        <f>IF($G$11="","",IFERROR(IF(VLOOKUP($G$11,'Section A Transfer Column'!$O$5:$Q$104,3,FALSE)="OK",VLOOKUP($G$11,'Section A Transfer Column'!$O$5:$Q$104,2,FALSE),""),""))</f>
        <v/>
      </c>
      <c r="I11" s="27"/>
      <c r="J11" s="32"/>
      <c r="K11" s="229" t="str">
        <f>IF($J$11="","",IFERROR(IF(VLOOKUP($J$11,'Section A Transfer Column'!$O$5:$Q$104,3,FALSE)="OK",VLOOKUP($J$11,'Section A Transfer Column'!$O$5:$Q$104,2,FALSE),""),""))</f>
        <v/>
      </c>
      <c r="L11" s="28"/>
      <c r="M11" s="32"/>
      <c r="N11" s="230" t="str">
        <f>IF($M$11="","",IFERROR(IF(VLOOKUP($M$11,'Section A Transfer Column'!$O$5:$Q$104,3,FALSE)="OK",VLOOKUP($M$11,'Section A Transfer Column'!$O$5:$Q$104,2,FALSE),""),""))</f>
        <v/>
      </c>
      <c r="O11" s="29"/>
      <c r="P11" s="32"/>
      <c r="Q11" s="231" t="str">
        <f>IF($P$11="","",IFERROR(IF(VLOOKUP($P$11,'Section A Transfer Column'!$O$5:$Q$104,3,FALSE)="OK",VLOOKUP($P$11,'Section A Transfer Column'!$O$5:$Q$104,2,FALSE),""),""))</f>
        <v/>
      </c>
      <c r="R11" s="30"/>
      <c r="S11" s="232">
        <f t="shared" si="0"/>
        <v>0</v>
      </c>
      <c r="T11" s="224">
        <v>1</v>
      </c>
      <c r="U11" s="238" t="s">
        <v>202</v>
      </c>
      <c r="V11" s="232" t="str">
        <f t="shared" si="1"/>
        <v/>
      </c>
      <c r="W11" s="232">
        <f>IFERROR(VLOOKUP(U11,'Section A Beam Slab'!$K$6:$L$9,2,FALSE),"")</f>
        <v>23</v>
      </c>
      <c r="X11" s="202" t="str">
        <f t="shared" si="2"/>
        <v/>
      </c>
      <c r="Y11" s="202" t="str">
        <f>IF(COUNTIF(RCLoadResults73[Member],A11),IF(OR(COUNT(B11,C11,T11,Z11)&lt;&gt;4,MIN(B11,C11,T11,Z11)&lt;=0),"INPUT REQUIRED",IF(INDEX(RCLoadResults73[Status],MATCH(A11,RCLoadResults73[Member],0))&lt;&gt;"OK","INPUT REQUIRED",IF(AI32&lt;=AJ32,"OKAY","NOT OKAY"))),IF(L34="INPUT REQUIRED","INPUT REQUIRED",IF(AND(A11&lt;&gt;"",OR(AND($D$11&lt;&gt;"",AND(IFERROR(VLOOKUP($D$11,'Section A Transfer Column'!$O$5:$Q$104,3,FALSE),"BAD")&lt;&gt;"OK",IFERROR(VLOOKUP($D$11,'Section A Transfer Column'!$O$5:$Q$104,3,FALSE),"BAD")&lt;&gt;"UNUSED")),AND($G$11&lt;&gt;"",AND(IFERROR(VLOOKUP($G$11,'Section A Transfer Column'!$O$5:$Q$104,3,FALSE),"BAD")&lt;&gt;"OK",IFERROR(VLOOKUP($G$11,'Section A Transfer Column'!$O$5:$Q$104,3,FALSE),"BAD")&lt;&gt;"UNUSED")),AND($J$11&lt;&gt;"",AND(IFERROR(VLOOKUP($J$11,'Section A Transfer Column'!$O$5:$Q$104,3,FALSE),"BAD")&lt;&gt;"OK",IFERROR(VLOOKUP($J$11,'Section A Transfer Column'!$O$5:$Q$104,3,FALSE),"BAD")&lt;&gt;"UNUSED")),AND($M$11&lt;&gt;"",AND(IFERROR(VLOOKUP($M$11,'Section A Transfer Column'!$O$5:$Q$104,3,FALSE),"BAD")&lt;&gt;"OK",IFERROR(VLOOKUP($M$11,'Section A Transfer Column'!$O$5:$Q$104,3,FALSE),"BAD")&lt;&gt;"UNUSED")),AND($P$11&lt;&gt;"",AND(IFERROR(VLOOKUP($P$11,'Section A Transfer Column'!$O$5:$Q$104,3,FALSE),"BAD")&lt;&gt;"OK",IFERROR(VLOOKUP($P$11,'Section A Transfer Column'!$O$5:$Q$104,3,FALSE),"BAD")&lt;&gt;"UNUSED")))),"INPUT REQUIRED",IF($A11="","",IF(OR($B11="",$B11&lt;=0,$C11="",$C11&lt;=0,$T11="",$T11&lt;=0,$Z11="",$Z11&lt;=0,OR(AND($E11&lt;&gt;"",$F11=""),AND($E11="",$F11&lt;&gt;""),AND($E11&lt;&gt;"",OR($F11&lt;0,$F11&gt;$B11))),OR(AND($H11&lt;&gt;"",$I11=""),AND($H11="",$I11&lt;&gt;""),AND($H11&lt;&gt;"",OR($I11&lt;0,$I11&gt;$B11))),OR(AND($K11&lt;&gt;"",$L11=""),AND($K11="",$L11&lt;&gt;""),AND($K11&lt;&gt;"",OR($L11&lt;0,$L11&gt;$B11))),OR(AND($N11&lt;&gt;"",$O11=""),AND($N11="",$O11&lt;&gt;""),AND($N11&lt;&gt;"",OR($O11&lt;0,$O11&gt;$B11))),OR(AND($Q11&lt;&gt;"",$R11=""),AND($Q11="",$R11&lt;&gt;""),AND($Q11&lt;&gt;"",OR($R11&lt;0,$R11&gt;$B11))),AND($E11="",$H11="",$K11="",$N11="",$Q11="",$S11=0)),"INPUT REQUIRED",IF(AI32&lt;=AJ32,"OKAY","NOT OKAY"))))))</f>
        <v/>
      </c>
      <c r="Z11" s="378">
        <f>IF(Input!$C$5="","",Input!$C$5)</f>
        <v>60</v>
      </c>
      <c r="AA11" s="233" t="str">
        <f>IF(A11="","",IF(ROW()='Section B Transfer Beam Check'!$T$13,'Section B Transfer Beam Check'!$R$40,IF('_TB Analysis'!BA11="","NOT CHECKED",IF('_TB Analysis'!BA11='_TB Analysis'!BB11,'_TB Analysis'!BC11,"INPUTS CHANGED"))))</f>
        <v/>
      </c>
    </row>
    <row r="12" spans="1:42" ht="19.95" customHeight="1">
      <c r="A12" s="25"/>
      <c r="B12" s="26"/>
      <c r="C12" s="181"/>
      <c r="D12" s="32"/>
      <c r="E12" s="229" t="str">
        <f>IF($D$12="","",IFERROR(IF(VLOOKUP($D$12,'Section A Transfer Column'!$O$5:$Q$104,3,FALSE)="OK",VLOOKUP($D$12,'Section A Transfer Column'!$O$5:$Q$104,2,FALSE),""),""))</f>
        <v/>
      </c>
      <c r="F12" s="27"/>
      <c r="G12" s="32"/>
      <c r="H12" s="229" t="str">
        <f>IF($G$12="","",IFERROR(IF(VLOOKUP($G$12,'Section A Transfer Column'!$O$5:$Q$104,3,FALSE)="OK",VLOOKUP($G$12,'Section A Transfer Column'!$O$5:$Q$104,2,FALSE),""),""))</f>
        <v/>
      </c>
      <c r="I12" s="27"/>
      <c r="J12" s="32"/>
      <c r="K12" s="229" t="str">
        <f>IF($J$12="","",IFERROR(IF(VLOOKUP($J$12,'Section A Transfer Column'!$O$5:$Q$104,3,FALSE)="OK",VLOOKUP($J$12,'Section A Transfer Column'!$O$5:$Q$104,2,FALSE),""),""))</f>
        <v/>
      </c>
      <c r="L12" s="28"/>
      <c r="M12" s="32"/>
      <c r="N12" s="230" t="str">
        <f>IF($M$12="","",IFERROR(IF(VLOOKUP($M$12,'Section A Transfer Column'!$O$5:$Q$104,3,FALSE)="OK",VLOOKUP($M$12,'Section A Transfer Column'!$O$5:$Q$104,2,FALSE),""),""))</f>
        <v/>
      </c>
      <c r="O12" s="29"/>
      <c r="P12" s="32"/>
      <c r="Q12" s="231" t="str">
        <f>IF($P$12="","",IFERROR(IF(VLOOKUP($P$12,'Section A Transfer Column'!$O$5:$Q$104,3,FALSE)="OK",VLOOKUP($P$12,'Section A Transfer Column'!$O$5:$Q$104,2,FALSE),""),""))</f>
        <v/>
      </c>
      <c r="R12" s="30"/>
      <c r="S12" s="232">
        <f t="shared" si="0"/>
        <v>0</v>
      </c>
      <c r="T12" s="224">
        <v>1</v>
      </c>
      <c r="U12" s="238" t="s">
        <v>202</v>
      </c>
      <c r="V12" s="232" t="str">
        <f t="shared" si="1"/>
        <v/>
      </c>
      <c r="W12" s="232">
        <f>IFERROR(VLOOKUP(U12,'Section A Beam Slab'!$K$6:$L$9,2,FALSE),"")</f>
        <v>23</v>
      </c>
      <c r="X12" s="202" t="str">
        <f t="shared" si="2"/>
        <v/>
      </c>
      <c r="Y12" s="202" t="str">
        <f>IF(COUNTIF(RCLoadResults73[Member],A12),IF(OR(COUNT(B12,C12,T12,Z12)&lt;&gt;4,MIN(B12,C12,T12,Z12)&lt;=0),"INPUT REQUIRED",IF(INDEX(RCLoadResults73[Status],MATCH(A12,RCLoadResults73[Member],0))&lt;&gt;"OK","INPUT REQUIRED",IF(AI33&lt;=AJ33,"OKAY","NOT OKAY"))),IF(L35="INPUT REQUIRED","INPUT REQUIRED",IF(AND(A12&lt;&gt;"",OR(AND($D$12&lt;&gt;"",AND(IFERROR(VLOOKUP($D$12,'Section A Transfer Column'!$O$5:$Q$104,3,FALSE),"BAD")&lt;&gt;"OK",IFERROR(VLOOKUP($D$12,'Section A Transfer Column'!$O$5:$Q$104,3,FALSE),"BAD")&lt;&gt;"UNUSED")),AND($G$12&lt;&gt;"",AND(IFERROR(VLOOKUP($G$12,'Section A Transfer Column'!$O$5:$Q$104,3,FALSE),"BAD")&lt;&gt;"OK",IFERROR(VLOOKUP($G$12,'Section A Transfer Column'!$O$5:$Q$104,3,FALSE),"BAD")&lt;&gt;"UNUSED")),AND($J$12&lt;&gt;"",AND(IFERROR(VLOOKUP($J$12,'Section A Transfer Column'!$O$5:$Q$104,3,FALSE),"BAD")&lt;&gt;"OK",IFERROR(VLOOKUP($J$12,'Section A Transfer Column'!$O$5:$Q$104,3,FALSE),"BAD")&lt;&gt;"UNUSED")),AND($M$12&lt;&gt;"",AND(IFERROR(VLOOKUP($M$12,'Section A Transfer Column'!$O$5:$Q$104,3,FALSE),"BAD")&lt;&gt;"OK",IFERROR(VLOOKUP($M$12,'Section A Transfer Column'!$O$5:$Q$104,3,FALSE),"BAD")&lt;&gt;"UNUSED")),AND($P$12&lt;&gt;"",AND(IFERROR(VLOOKUP($P$12,'Section A Transfer Column'!$O$5:$Q$104,3,FALSE),"BAD")&lt;&gt;"OK",IFERROR(VLOOKUP($P$12,'Section A Transfer Column'!$O$5:$Q$104,3,FALSE),"BAD")&lt;&gt;"UNUSED")))),"INPUT REQUIRED",IF($A12="","",IF(OR($B12="",$B12&lt;=0,$C12="",$C12&lt;=0,$T12="",$T12&lt;=0,$Z12="",$Z12&lt;=0,OR(AND($E12&lt;&gt;"",$F12=""),AND($E12="",$F12&lt;&gt;""),AND($E12&lt;&gt;"",OR($F12&lt;0,$F12&gt;$B12))),OR(AND($H12&lt;&gt;"",$I12=""),AND($H12="",$I12&lt;&gt;""),AND($H12&lt;&gt;"",OR($I12&lt;0,$I12&gt;$B12))),OR(AND($K12&lt;&gt;"",$L12=""),AND($K12="",$L12&lt;&gt;""),AND($K12&lt;&gt;"",OR($L12&lt;0,$L12&gt;$B12))),OR(AND($N12&lt;&gt;"",$O12=""),AND($N12="",$O12&lt;&gt;""),AND($N12&lt;&gt;"",OR($O12&lt;0,$O12&gt;$B12))),OR(AND($Q12&lt;&gt;"",$R12=""),AND($Q12="",$R12&lt;&gt;""),AND($Q12&lt;&gt;"",OR($R12&lt;0,$R12&gt;$B12))),AND($E12="",$H12="",$K12="",$N12="",$Q12="",$S12=0)),"INPUT REQUIRED",IF(AI33&lt;=AJ33,"OKAY","NOT OKAY"))))))</f>
        <v/>
      </c>
      <c r="Z12" s="378">
        <f>IF(Input!$C$5="","",Input!$C$5)</f>
        <v>60</v>
      </c>
      <c r="AA12" s="233" t="str">
        <f>IF(A12="","",IF(ROW()='Section B Transfer Beam Check'!$T$13,'Section B Transfer Beam Check'!$R$40,IF('_TB Analysis'!BA12="","NOT CHECKED",IF('_TB Analysis'!BA12='_TB Analysis'!BB12,'_TB Analysis'!BC12,"INPUTS CHANGED"))))</f>
        <v/>
      </c>
    </row>
    <row r="13" spans="1:42" ht="24" customHeight="1">
      <c r="A13" s="25"/>
      <c r="B13" s="26"/>
      <c r="C13" s="181"/>
      <c r="D13" s="32"/>
      <c r="E13" s="229" t="str">
        <f>IF($D$13="","",IFERROR(IF(VLOOKUP($D$13,'Section A Transfer Column'!$O$5:$Q$104,3,FALSE)="OK",VLOOKUP($D$13,'Section A Transfer Column'!$O$5:$Q$104,2,FALSE),""),""))</f>
        <v/>
      </c>
      <c r="F13" s="27"/>
      <c r="G13" s="32"/>
      <c r="H13" s="229" t="str">
        <f>IF($G$13="","",IFERROR(IF(VLOOKUP($G$13,'Section A Transfer Column'!$O$5:$Q$104,3,FALSE)="OK",VLOOKUP($G$13,'Section A Transfer Column'!$O$5:$Q$104,2,FALSE),""),""))</f>
        <v/>
      </c>
      <c r="I13" s="27"/>
      <c r="J13" s="32"/>
      <c r="K13" s="229" t="str">
        <f>IF($J$13="","",IFERROR(IF(VLOOKUP($J$13,'Section A Transfer Column'!$O$5:$Q$104,3,FALSE)="OK",VLOOKUP($J$13,'Section A Transfer Column'!$O$5:$Q$104,2,FALSE),""),""))</f>
        <v/>
      </c>
      <c r="L13" s="28"/>
      <c r="M13" s="32"/>
      <c r="N13" s="230" t="str">
        <f>IF($M$13="","",IFERROR(IF(VLOOKUP($M$13,'Section A Transfer Column'!$O$5:$Q$104,3,FALSE)="OK",VLOOKUP($M$13,'Section A Transfer Column'!$O$5:$Q$104,2,FALSE),""),""))</f>
        <v/>
      </c>
      <c r="O13" s="29"/>
      <c r="P13" s="32"/>
      <c r="Q13" s="231" t="str">
        <f>IF($P$13="","",IFERROR(IF(VLOOKUP($P$13,'Section A Transfer Column'!$O$5:$Q$104,3,FALSE)="OK",VLOOKUP($P$13,'Section A Transfer Column'!$O$5:$Q$104,2,FALSE),""),""))</f>
        <v/>
      </c>
      <c r="R13" s="30"/>
      <c r="S13" s="232">
        <f t="shared" si="0"/>
        <v>0</v>
      </c>
      <c r="T13" s="224">
        <v>1</v>
      </c>
      <c r="U13" s="238" t="s">
        <v>202</v>
      </c>
      <c r="V13" s="232" t="str">
        <f t="shared" si="1"/>
        <v/>
      </c>
      <c r="W13" s="232">
        <f>IFERROR(VLOOKUP(U13,'Section A Beam Slab'!$K$6:$L$9,2,FALSE),"")</f>
        <v>23</v>
      </c>
      <c r="X13" s="202" t="str">
        <f t="shared" si="2"/>
        <v/>
      </c>
      <c r="Y13" s="202" t="str">
        <f>IF(COUNTIF(RCLoadResults73[Member],A13),IF(OR(COUNT(B13,C13,T13,Z13)&lt;&gt;4,MIN(B13,C13,T13,Z13)&lt;=0),"INPUT REQUIRED",IF(INDEX(RCLoadResults73[Status],MATCH(A13,RCLoadResults73[Member],0))&lt;&gt;"OK","INPUT REQUIRED",IF(AI34&lt;=AJ34,"OKAY","NOT OKAY"))),IF(L36="INPUT REQUIRED","INPUT REQUIRED",IF(AND(A13&lt;&gt;"",OR(AND($D$13&lt;&gt;"",AND(IFERROR(VLOOKUP($D$13,'Section A Transfer Column'!$O$5:$Q$104,3,FALSE),"BAD")&lt;&gt;"OK",IFERROR(VLOOKUP($D$13,'Section A Transfer Column'!$O$5:$Q$104,3,FALSE),"BAD")&lt;&gt;"UNUSED")),AND($G$13&lt;&gt;"",AND(IFERROR(VLOOKUP($G$13,'Section A Transfer Column'!$O$5:$Q$104,3,FALSE),"BAD")&lt;&gt;"OK",IFERROR(VLOOKUP($G$13,'Section A Transfer Column'!$O$5:$Q$104,3,FALSE),"BAD")&lt;&gt;"UNUSED")),AND($J$13&lt;&gt;"",AND(IFERROR(VLOOKUP($J$13,'Section A Transfer Column'!$O$5:$Q$104,3,FALSE),"BAD")&lt;&gt;"OK",IFERROR(VLOOKUP($J$13,'Section A Transfer Column'!$O$5:$Q$104,3,FALSE),"BAD")&lt;&gt;"UNUSED")),AND($M$13&lt;&gt;"",AND(IFERROR(VLOOKUP($M$13,'Section A Transfer Column'!$O$5:$Q$104,3,FALSE),"BAD")&lt;&gt;"OK",IFERROR(VLOOKUP($M$13,'Section A Transfer Column'!$O$5:$Q$104,3,FALSE),"BAD")&lt;&gt;"UNUSED")),AND($P$13&lt;&gt;"",AND(IFERROR(VLOOKUP($P$13,'Section A Transfer Column'!$O$5:$Q$104,3,FALSE),"BAD")&lt;&gt;"OK",IFERROR(VLOOKUP($P$13,'Section A Transfer Column'!$O$5:$Q$104,3,FALSE),"BAD")&lt;&gt;"UNUSED")))),"INPUT REQUIRED",IF($A13="","",IF(OR($B13="",$B13&lt;=0,$C13="",$C13&lt;=0,$T13="",$T13&lt;=0,$Z13="",$Z13&lt;=0,OR(AND($E13&lt;&gt;"",$F13=""),AND($E13="",$F13&lt;&gt;""),AND($E13&lt;&gt;"",OR($F13&lt;0,$F13&gt;$B13))),OR(AND($H13&lt;&gt;"",$I13=""),AND($H13="",$I13&lt;&gt;""),AND($H13&lt;&gt;"",OR($I13&lt;0,$I13&gt;$B13))),OR(AND($K13&lt;&gt;"",$L13=""),AND($K13="",$L13&lt;&gt;""),AND($K13&lt;&gt;"",OR($L13&lt;0,$L13&gt;$B13))),OR(AND($N13&lt;&gt;"",$O13=""),AND($N13="",$O13&lt;&gt;""),AND($N13&lt;&gt;"",OR($O13&lt;0,$O13&gt;$B13))),OR(AND($Q13&lt;&gt;"",$R13=""),AND($Q13="",$R13&lt;&gt;""),AND($Q13&lt;&gt;"",OR($R13&lt;0,$R13&gt;$B13))),AND($E13="",$H13="",$K13="",$N13="",$Q13="",$S13=0)),"INPUT REQUIRED",IF(AI34&lt;=AJ34,"OKAY","NOT OKAY"))))))</f>
        <v/>
      </c>
      <c r="Z13" s="378">
        <f>IF(Input!$C$5="","",Input!$C$5)</f>
        <v>60</v>
      </c>
      <c r="AA13" s="233" t="str">
        <f>IF(A13="","",IF(ROW()='Section B Transfer Beam Check'!$T$13,'Section B Transfer Beam Check'!$R$40,IF('_TB Analysis'!BA13="","NOT CHECKED",IF('_TB Analysis'!BA13='_TB Analysis'!BB13,'_TB Analysis'!BC13,"INPUTS CHANGED"))))</f>
        <v/>
      </c>
    </row>
    <row r="14" spans="1:42" ht="19.95" customHeight="1">
      <c r="A14" s="25"/>
      <c r="B14" s="26"/>
      <c r="C14" s="181"/>
      <c r="D14" s="32"/>
      <c r="E14" s="229" t="str">
        <f>IF($D$14="","",IFERROR(IF(VLOOKUP($D$14,'Section A Transfer Column'!$O$5:$Q$104,3,FALSE)="OK",VLOOKUP($D$14,'Section A Transfer Column'!$O$5:$Q$104,2,FALSE),""),""))</f>
        <v/>
      </c>
      <c r="F14" s="27"/>
      <c r="G14" s="32"/>
      <c r="H14" s="229" t="str">
        <f>IF($G$14="","",IFERROR(IF(VLOOKUP($G$14,'Section A Transfer Column'!$O$5:$Q$104,3,FALSE)="OK",VLOOKUP($G$14,'Section A Transfer Column'!$O$5:$Q$104,2,FALSE),""),""))</f>
        <v/>
      </c>
      <c r="I14" s="27"/>
      <c r="J14" s="32"/>
      <c r="K14" s="229" t="str">
        <f>IF($J$14="","",IFERROR(IF(VLOOKUP($J$14,'Section A Transfer Column'!$O$5:$Q$104,3,FALSE)="OK",VLOOKUP($J$14,'Section A Transfer Column'!$O$5:$Q$104,2,FALSE),""),""))</f>
        <v/>
      </c>
      <c r="L14" s="28"/>
      <c r="M14" s="32"/>
      <c r="N14" s="230" t="str">
        <f>IF($M$14="","",IFERROR(IF(VLOOKUP($M$14,'Section A Transfer Column'!$O$5:$Q$104,3,FALSE)="OK",VLOOKUP($M$14,'Section A Transfer Column'!$O$5:$Q$104,2,FALSE),""),""))</f>
        <v/>
      </c>
      <c r="O14" s="29"/>
      <c r="P14" s="32"/>
      <c r="Q14" s="231" t="str">
        <f>IF($P$14="","",IFERROR(IF(VLOOKUP($P$14,'Section A Transfer Column'!$O$5:$Q$104,3,FALSE)="OK",VLOOKUP($P$14,'Section A Transfer Column'!$O$5:$Q$104,2,FALSE),""),""))</f>
        <v/>
      </c>
      <c r="R14" s="30"/>
      <c r="S14" s="232">
        <f t="shared" si="0"/>
        <v>0</v>
      </c>
      <c r="T14" s="224">
        <v>1</v>
      </c>
      <c r="U14" s="238" t="s">
        <v>202</v>
      </c>
      <c r="V14" s="232" t="str">
        <f t="shared" si="1"/>
        <v/>
      </c>
      <c r="W14" s="232">
        <f>IFERROR(VLOOKUP(U14,'Section A Beam Slab'!$K$6:$L$9,2,FALSE),"")</f>
        <v>23</v>
      </c>
      <c r="X14" s="202" t="str">
        <f t="shared" si="2"/>
        <v/>
      </c>
      <c r="Y14" s="202" t="str">
        <f>IF(COUNTIF(RCLoadResults73[Member],A14),IF(OR(COUNT(B14,C14,T14,Z14)&lt;&gt;4,MIN(B14,C14,T14,Z14)&lt;=0),"INPUT REQUIRED",IF(INDEX(RCLoadResults73[Status],MATCH(A14,RCLoadResults73[Member],0))&lt;&gt;"OK","INPUT REQUIRED",IF(AI35&lt;=AJ35,"OKAY","NOT OKAY"))),IF(L37="INPUT REQUIRED","INPUT REQUIRED",IF(AND(A14&lt;&gt;"",OR(AND($D$14&lt;&gt;"",AND(IFERROR(VLOOKUP($D$14,'Section A Transfer Column'!$O$5:$Q$104,3,FALSE),"BAD")&lt;&gt;"OK",IFERROR(VLOOKUP($D$14,'Section A Transfer Column'!$O$5:$Q$104,3,FALSE),"BAD")&lt;&gt;"UNUSED")),AND($G$14&lt;&gt;"",AND(IFERROR(VLOOKUP($G$14,'Section A Transfer Column'!$O$5:$Q$104,3,FALSE),"BAD")&lt;&gt;"OK",IFERROR(VLOOKUP($G$14,'Section A Transfer Column'!$O$5:$Q$104,3,FALSE),"BAD")&lt;&gt;"UNUSED")),AND($J$14&lt;&gt;"",AND(IFERROR(VLOOKUP($J$14,'Section A Transfer Column'!$O$5:$Q$104,3,FALSE),"BAD")&lt;&gt;"OK",IFERROR(VLOOKUP($J$14,'Section A Transfer Column'!$O$5:$Q$104,3,FALSE),"BAD")&lt;&gt;"UNUSED")),AND($M$14&lt;&gt;"",AND(IFERROR(VLOOKUP($M$14,'Section A Transfer Column'!$O$5:$Q$104,3,FALSE),"BAD")&lt;&gt;"OK",IFERROR(VLOOKUP($M$14,'Section A Transfer Column'!$O$5:$Q$104,3,FALSE),"BAD")&lt;&gt;"UNUSED")),AND($P$14&lt;&gt;"",AND(IFERROR(VLOOKUP($P$14,'Section A Transfer Column'!$O$5:$Q$104,3,FALSE),"BAD")&lt;&gt;"OK",IFERROR(VLOOKUP($P$14,'Section A Transfer Column'!$O$5:$Q$104,3,FALSE),"BAD")&lt;&gt;"UNUSED")))),"INPUT REQUIRED",IF($A14="","",IF(OR($B14="",$B14&lt;=0,$C14="",$C14&lt;=0,$T14="",$T14&lt;=0,$Z14="",$Z14&lt;=0,OR(AND($E14&lt;&gt;"",$F14=""),AND($E14="",$F14&lt;&gt;""),AND($E14&lt;&gt;"",OR($F14&lt;0,$F14&gt;$B14))),OR(AND($H14&lt;&gt;"",$I14=""),AND($H14="",$I14&lt;&gt;""),AND($H14&lt;&gt;"",OR($I14&lt;0,$I14&gt;$B14))),OR(AND($K14&lt;&gt;"",$L14=""),AND($K14="",$L14&lt;&gt;""),AND($K14&lt;&gt;"",OR($L14&lt;0,$L14&gt;$B14))),OR(AND($N14&lt;&gt;"",$O14=""),AND($N14="",$O14&lt;&gt;""),AND($N14&lt;&gt;"",OR($O14&lt;0,$O14&gt;$B14))),OR(AND($Q14&lt;&gt;"",$R14=""),AND($Q14="",$R14&lt;&gt;""),AND($Q14&lt;&gt;"",OR($R14&lt;0,$R14&gt;$B14))),AND($E14="",$H14="",$K14="",$N14="",$Q14="",$S14=0)),"INPUT REQUIRED",IF(AI35&lt;=AJ35,"OKAY","NOT OKAY"))))))</f>
        <v/>
      </c>
      <c r="Z14" s="378">
        <f>IF(Input!$C$5="","",Input!$C$5)</f>
        <v>60</v>
      </c>
      <c r="AA14" s="233" t="str">
        <f>IF(A14="","",IF(ROW()='Section B Transfer Beam Check'!$T$13,'Section B Transfer Beam Check'!$R$40,IF('_TB Analysis'!BA14="","NOT CHECKED",IF('_TB Analysis'!BA14='_TB Analysis'!BB14,'_TB Analysis'!BC14,"INPUTS CHANGED"))))</f>
        <v/>
      </c>
    </row>
    <row r="15" spans="1:42" ht="24" customHeight="1">
      <c r="A15" s="25"/>
      <c r="B15" s="26"/>
      <c r="C15" s="181"/>
      <c r="D15" s="32"/>
      <c r="E15" s="229" t="str">
        <f>IF($D$15="","",IFERROR(IF(VLOOKUP($D$15,'Section A Transfer Column'!$O$5:$Q$104,3,FALSE)="OK",VLOOKUP($D$15,'Section A Transfer Column'!$O$5:$Q$104,2,FALSE),""),""))</f>
        <v/>
      </c>
      <c r="F15" s="27"/>
      <c r="G15" s="32"/>
      <c r="H15" s="229" t="str">
        <f>IF($G$15="","",IFERROR(IF(VLOOKUP($G$15,'Section A Transfer Column'!$O$5:$Q$104,3,FALSE)="OK",VLOOKUP($G$15,'Section A Transfer Column'!$O$5:$Q$104,2,FALSE),""),""))</f>
        <v/>
      </c>
      <c r="I15" s="27"/>
      <c r="J15" s="32"/>
      <c r="K15" s="229" t="str">
        <f>IF($J$15="","",IFERROR(IF(VLOOKUP($J$15,'Section A Transfer Column'!$O$5:$Q$104,3,FALSE)="OK",VLOOKUP($J$15,'Section A Transfer Column'!$O$5:$Q$104,2,FALSE),""),""))</f>
        <v/>
      </c>
      <c r="L15" s="28"/>
      <c r="M15" s="32"/>
      <c r="N15" s="230" t="str">
        <f>IF($M$15="","",IFERROR(IF(VLOOKUP($M$15,'Section A Transfer Column'!$O$5:$Q$104,3,FALSE)="OK",VLOOKUP($M$15,'Section A Transfer Column'!$O$5:$Q$104,2,FALSE),""),""))</f>
        <v/>
      </c>
      <c r="O15" s="29"/>
      <c r="P15" s="32"/>
      <c r="Q15" s="231" t="str">
        <f>IF($P$15="","",IFERROR(IF(VLOOKUP($P$15,'Section A Transfer Column'!$O$5:$Q$104,3,FALSE)="OK",VLOOKUP($P$15,'Section A Transfer Column'!$O$5:$Q$104,2,FALSE),""),""))</f>
        <v/>
      </c>
      <c r="R15" s="30"/>
      <c r="S15" s="232">
        <f t="shared" si="0"/>
        <v>0</v>
      </c>
      <c r="T15" s="224">
        <v>1</v>
      </c>
      <c r="U15" s="238" t="s">
        <v>202</v>
      </c>
      <c r="V15" s="232" t="str">
        <f t="shared" si="1"/>
        <v/>
      </c>
      <c r="W15" s="232">
        <f>IFERROR(VLOOKUP(U15,'Section A Beam Slab'!$K$6:$L$9,2,FALSE),"")</f>
        <v>23</v>
      </c>
      <c r="X15" s="202" t="str">
        <f t="shared" si="2"/>
        <v/>
      </c>
      <c r="Y15" s="202" t="str">
        <f>IF(COUNTIF(RCLoadResults73[Member],A15),IF(OR(COUNT(B15,C15,T15,Z15)&lt;&gt;4,MIN(B15,C15,T15,Z15)&lt;=0),"INPUT REQUIRED",IF(INDEX(RCLoadResults73[Status],MATCH(A15,RCLoadResults73[Member],0))&lt;&gt;"OK","INPUT REQUIRED",IF(AI36&lt;=AJ36,"OKAY","NOT OKAY"))),IF(L38="INPUT REQUIRED","INPUT REQUIRED",IF(AND(A15&lt;&gt;"",OR(AND($D$15&lt;&gt;"",AND(IFERROR(VLOOKUP($D$15,'Section A Transfer Column'!$O$5:$Q$104,3,FALSE),"BAD")&lt;&gt;"OK",IFERROR(VLOOKUP($D$15,'Section A Transfer Column'!$O$5:$Q$104,3,FALSE),"BAD")&lt;&gt;"UNUSED")),AND($G$15&lt;&gt;"",AND(IFERROR(VLOOKUP($G$15,'Section A Transfer Column'!$O$5:$Q$104,3,FALSE),"BAD")&lt;&gt;"OK",IFERROR(VLOOKUP($G$15,'Section A Transfer Column'!$O$5:$Q$104,3,FALSE),"BAD")&lt;&gt;"UNUSED")),AND($J$15&lt;&gt;"",AND(IFERROR(VLOOKUP($J$15,'Section A Transfer Column'!$O$5:$Q$104,3,FALSE),"BAD")&lt;&gt;"OK",IFERROR(VLOOKUP($J$15,'Section A Transfer Column'!$O$5:$Q$104,3,FALSE),"BAD")&lt;&gt;"UNUSED")),AND($M$15&lt;&gt;"",AND(IFERROR(VLOOKUP($M$15,'Section A Transfer Column'!$O$5:$Q$104,3,FALSE),"BAD")&lt;&gt;"OK",IFERROR(VLOOKUP($M$15,'Section A Transfer Column'!$O$5:$Q$104,3,FALSE),"BAD")&lt;&gt;"UNUSED")),AND($P$15&lt;&gt;"",AND(IFERROR(VLOOKUP($P$15,'Section A Transfer Column'!$O$5:$Q$104,3,FALSE),"BAD")&lt;&gt;"OK",IFERROR(VLOOKUP($P$15,'Section A Transfer Column'!$O$5:$Q$104,3,FALSE),"BAD")&lt;&gt;"UNUSED")))),"INPUT REQUIRED",IF($A15="","",IF(OR($B15="",$B15&lt;=0,$C15="",$C15&lt;=0,$T15="",$T15&lt;=0,$Z15="",$Z15&lt;=0,OR(AND($E15&lt;&gt;"",$F15=""),AND($E15="",$F15&lt;&gt;""),AND($E15&lt;&gt;"",OR($F15&lt;0,$F15&gt;$B15))),OR(AND($H15&lt;&gt;"",$I15=""),AND($H15="",$I15&lt;&gt;""),AND($H15&lt;&gt;"",OR($I15&lt;0,$I15&gt;$B15))),OR(AND($K15&lt;&gt;"",$L15=""),AND($K15="",$L15&lt;&gt;""),AND($K15&lt;&gt;"",OR($L15&lt;0,$L15&gt;$B15))),OR(AND($N15&lt;&gt;"",$O15=""),AND($N15="",$O15&lt;&gt;""),AND($N15&lt;&gt;"",OR($O15&lt;0,$O15&gt;$B15))),OR(AND($Q15&lt;&gt;"",$R15=""),AND($Q15="",$R15&lt;&gt;""),AND($Q15&lt;&gt;"",OR($R15&lt;0,$R15&gt;$B15))),AND($E15="",$H15="",$K15="",$N15="",$Q15="",$S15=0)),"INPUT REQUIRED",IF(AI36&lt;=AJ36,"OKAY","NOT OKAY"))))))</f>
        <v/>
      </c>
      <c r="Z15" s="378">
        <f>IF(Input!$C$5="","",Input!$C$5)</f>
        <v>60</v>
      </c>
      <c r="AA15" s="233" t="str">
        <f>IF(A15="","",IF(ROW()='Section B Transfer Beam Check'!$T$13,'Section B Transfer Beam Check'!$R$40,IF('_TB Analysis'!BA15="","NOT CHECKED",IF('_TB Analysis'!BA15='_TB Analysis'!BB15,'_TB Analysis'!BC15,"INPUTS CHANGED"))))</f>
        <v/>
      </c>
    </row>
    <row r="16" spans="1:42" ht="16.05" customHeight="1">
      <c r="A16" s="25"/>
      <c r="B16" s="26"/>
      <c r="C16" s="181"/>
      <c r="D16" s="32"/>
      <c r="E16" s="229" t="str">
        <f>IF($D$16="","",IFERROR(IF(VLOOKUP($D$16,'Section A Transfer Column'!$O$5:$Q$104,3,FALSE)="OK",VLOOKUP($D$16,'Section A Transfer Column'!$O$5:$Q$104,2,FALSE),""),""))</f>
        <v/>
      </c>
      <c r="F16" s="27"/>
      <c r="G16" s="32"/>
      <c r="H16" s="229" t="str">
        <f>IF($G$16="","",IFERROR(IF(VLOOKUP($G$16,'Section A Transfer Column'!$O$5:$Q$104,3,FALSE)="OK",VLOOKUP($G$16,'Section A Transfer Column'!$O$5:$Q$104,2,FALSE),""),""))</f>
        <v/>
      </c>
      <c r="I16" s="27"/>
      <c r="J16" s="32"/>
      <c r="K16" s="229" t="str">
        <f>IF($J$16="","",IFERROR(IF(VLOOKUP($J$16,'Section A Transfer Column'!$O$5:$Q$104,3,FALSE)="OK",VLOOKUP($J$16,'Section A Transfer Column'!$O$5:$Q$104,2,FALSE),""),""))</f>
        <v/>
      </c>
      <c r="L16" s="28"/>
      <c r="M16" s="32"/>
      <c r="N16" s="230" t="str">
        <f>IF($M$16="","",IFERROR(IF(VLOOKUP($M$16,'Section A Transfer Column'!$O$5:$Q$104,3,FALSE)="OK",VLOOKUP($M$16,'Section A Transfer Column'!$O$5:$Q$104,2,FALSE),""),""))</f>
        <v/>
      </c>
      <c r="O16" s="29"/>
      <c r="P16" s="32"/>
      <c r="Q16" s="231" t="str">
        <f>IF($P$16="","",IFERROR(IF(VLOOKUP($P$16,'Section A Transfer Column'!$O$5:$Q$104,3,FALSE)="OK",VLOOKUP($P$16,'Section A Transfer Column'!$O$5:$Q$104,2,FALSE),""),""))</f>
        <v/>
      </c>
      <c r="R16" s="30"/>
      <c r="S16" s="232">
        <f t="shared" si="0"/>
        <v>0</v>
      </c>
      <c r="T16" s="224">
        <v>1</v>
      </c>
      <c r="U16" s="238" t="s">
        <v>202</v>
      </c>
      <c r="V16" s="232" t="str">
        <f t="shared" si="1"/>
        <v/>
      </c>
      <c r="W16" s="232">
        <f>IFERROR(VLOOKUP(U16,'Section A Beam Slab'!$K$6:$L$9,2,FALSE),"")</f>
        <v>23</v>
      </c>
      <c r="X16" s="202" t="str">
        <f t="shared" si="2"/>
        <v/>
      </c>
      <c r="Y16" s="202" t="str">
        <f>IF(COUNTIF(RCLoadResults73[Member],A16),IF(OR(COUNT(B16,C16,T16,Z16)&lt;&gt;4,MIN(B16,C16,T16,Z16)&lt;=0),"INPUT REQUIRED",IF(INDEX(RCLoadResults73[Status],MATCH(A16,RCLoadResults73[Member],0))&lt;&gt;"OK","INPUT REQUIRED",IF(AI37&lt;=AJ37,"OKAY","NOT OKAY"))),IF(L39="INPUT REQUIRED","INPUT REQUIRED",IF(AND(A16&lt;&gt;"",OR(AND($D$16&lt;&gt;"",AND(IFERROR(VLOOKUP($D$16,'Section A Transfer Column'!$O$5:$Q$104,3,FALSE),"BAD")&lt;&gt;"OK",IFERROR(VLOOKUP($D$16,'Section A Transfer Column'!$O$5:$Q$104,3,FALSE),"BAD")&lt;&gt;"UNUSED")),AND($G$16&lt;&gt;"",AND(IFERROR(VLOOKUP($G$16,'Section A Transfer Column'!$O$5:$Q$104,3,FALSE),"BAD")&lt;&gt;"OK",IFERROR(VLOOKUP($G$16,'Section A Transfer Column'!$O$5:$Q$104,3,FALSE),"BAD")&lt;&gt;"UNUSED")),AND($J$16&lt;&gt;"",AND(IFERROR(VLOOKUP($J$16,'Section A Transfer Column'!$O$5:$Q$104,3,FALSE),"BAD")&lt;&gt;"OK",IFERROR(VLOOKUP($J$16,'Section A Transfer Column'!$O$5:$Q$104,3,FALSE),"BAD")&lt;&gt;"UNUSED")),AND($M$16&lt;&gt;"",AND(IFERROR(VLOOKUP($M$16,'Section A Transfer Column'!$O$5:$Q$104,3,FALSE),"BAD")&lt;&gt;"OK",IFERROR(VLOOKUP($M$16,'Section A Transfer Column'!$O$5:$Q$104,3,FALSE),"BAD")&lt;&gt;"UNUSED")),AND($P$16&lt;&gt;"",AND(IFERROR(VLOOKUP($P$16,'Section A Transfer Column'!$O$5:$Q$104,3,FALSE),"BAD")&lt;&gt;"OK",IFERROR(VLOOKUP($P$16,'Section A Transfer Column'!$O$5:$Q$104,3,FALSE),"BAD")&lt;&gt;"UNUSED")))),"INPUT REQUIRED",IF($A16="","",IF(OR($B16="",$B16&lt;=0,$C16="",$C16&lt;=0,$T16="",$T16&lt;=0,$Z16="",$Z16&lt;=0,OR(AND($E16&lt;&gt;"",$F16=""),AND($E16="",$F16&lt;&gt;""),AND($E16&lt;&gt;"",OR($F16&lt;0,$F16&gt;$B16))),OR(AND($H16&lt;&gt;"",$I16=""),AND($H16="",$I16&lt;&gt;""),AND($H16&lt;&gt;"",OR($I16&lt;0,$I16&gt;$B16))),OR(AND($K16&lt;&gt;"",$L16=""),AND($K16="",$L16&lt;&gt;""),AND($K16&lt;&gt;"",OR($L16&lt;0,$L16&gt;$B16))),OR(AND($N16&lt;&gt;"",$O16=""),AND($N16="",$O16&lt;&gt;""),AND($N16&lt;&gt;"",OR($O16&lt;0,$O16&gt;$B16))),OR(AND($Q16&lt;&gt;"",$R16=""),AND($Q16="",$R16&lt;&gt;""),AND($Q16&lt;&gt;"",OR($R16&lt;0,$R16&gt;$B16))),AND($E16="",$H16="",$K16="",$N16="",$Q16="",$S16=0)),"INPUT REQUIRED",IF(AI37&lt;=AJ37,"OKAY","NOT OKAY"))))))</f>
        <v/>
      </c>
      <c r="Z16" s="378">
        <f>IF(Input!$C$5="","",Input!$C$5)</f>
        <v>60</v>
      </c>
      <c r="AA16" s="233" t="str">
        <f>IF(A16="","",IF(ROW()='Section B Transfer Beam Check'!$T$13,'Section B Transfer Beam Check'!$R$40,IF('_TB Analysis'!BA16="","NOT CHECKED",IF('_TB Analysis'!BA16='_TB Analysis'!BB16,'_TB Analysis'!BC16,"INPUTS CHANGED"))))</f>
        <v/>
      </c>
    </row>
    <row r="17" spans="1:42" ht="24" customHeight="1">
      <c r="A17" s="25"/>
      <c r="B17" s="26"/>
      <c r="C17" s="181"/>
      <c r="D17" s="32"/>
      <c r="E17" s="229" t="str">
        <f>IF($D$17="","",IFERROR(IF(VLOOKUP($D$17,'Section A Transfer Column'!$O$5:$Q$104,3,FALSE)="OK",VLOOKUP($D$17,'Section A Transfer Column'!$O$5:$Q$104,2,FALSE),""),""))</f>
        <v/>
      </c>
      <c r="F17" s="27"/>
      <c r="G17" s="32"/>
      <c r="H17" s="229" t="str">
        <f>IF($G$17="","",IFERROR(IF(VLOOKUP($G$17,'Section A Transfer Column'!$O$5:$Q$104,3,FALSE)="OK",VLOOKUP($G$17,'Section A Transfer Column'!$O$5:$Q$104,2,FALSE),""),""))</f>
        <v/>
      </c>
      <c r="I17" s="27"/>
      <c r="J17" s="32"/>
      <c r="K17" s="229" t="str">
        <f>IF($J$17="","",IFERROR(IF(VLOOKUP($J$17,'Section A Transfer Column'!$O$5:$Q$104,3,FALSE)="OK",VLOOKUP($J$17,'Section A Transfer Column'!$O$5:$Q$104,2,FALSE),""),""))</f>
        <v/>
      </c>
      <c r="L17" s="28"/>
      <c r="M17" s="32"/>
      <c r="N17" s="230" t="str">
        <f>IF($M$17="","",IFERROR(IF(VLOOKUP($M$17,'Section A Transfer Column'!$O$5:$Q$104,3,FALSE)="OK",VLOOKUP($M$17,'Section A Transfer Column'!$O$5:$Q$104,2,FALSE),""),""))</f>
        <v/>
      </c>
      <c r="O17" s="29"/>
      <c r="P17" s="32"/>
      <c r="Q17" s="231" t="str">
        <f>IF($P$17="","",IFERROR(IF(VLOOKUP($P$17,'Section A Transfer Column'!$O$5:$Q$104,3,FALSE)="OK",VLOOKUP($P$17,'Section A Transfer Column'!$O$5:$Q$104,2,FALSE),""),""))</f>
        <v/>
      </c>
      <c r="R17" s="30"/>
      <c r="S17" s="232">
        <f t="shared" si="0"/>
        <v>0</v>
      </c>
      <c r="T17" s="224">
        <v>1</v>
      </c>
      <c r="U17" s="238" t="s">
        <v>202</v>
      </c>
      <c r="V17" s="232" t="str">
        <f t="shared" si="1"/>
        <v/>
      </c>
      <c r="W17" s="232">
        <f>IFERROR(VLOOKUP(U17,'Section A Beam Slab'!$K$6:$L$9,2,FALSE),"")</f>
        <v>23</v>
      </c>
      <c r="X17" s="202" t="str">
        <f t="shared" si="2"/>
        <v/>
      </c>
      <c r="Y17" s="202" t="str">
        <f>IF(COUNTIF(RCLoadResults73[Member],A17),IF(OR(COUNT(B17,C17,T17,Z17)&lt;&gt;4,MIN(B17,C17,T17,Z17)&lt;=0),"INPUT REQUIRED",IF(INDEX(RCLoadResults73[Status],MATCH(A17,RCLoadResults73[Member],0))&lt;&gt;"OK","INPUT REQUIRED",IF(AI38&lt;=AJ38,"OKAY","NOT OKAY"))),IF(L40="INPUT REQUIRED","INPUT REQUIRED",IF(AND(A17&lt;&gt;"",OR(AND($D$17&lt;&gt;"",AND(IFERROR(VLOOKUP($D$17,'Section A Transfer Column'!$O$5:$Q$104,3,FALSE),"BAD")&lt;&gt;"OK",IFERROR(VLOOKUP($D$17,'Section A Transfer Column'!$O$5:$Q$104,3,FALSE),"BAD")&lt;&gt;"UNUSED")),AND($G$17&lt;&gt;"",AND(IFERROR(VLOOKUP($G$17,'Section A Transfer Column'!$O$5:$Q$104,3,FALSE),"BAD")&lt;&gt;"OK",IFERROR(VLOOKUP($G$17,'Section A Transfer Column'!$O$5:$Q$104,3,FALSE),"BAD")&lt;&gt;"UNUSED")),AND($J$17&lt;&gt;"",AND(IFERROR(VLOOKUP($J$17,'Section A Transfer Column'!$O$5:$Q$104,3,FALSE),"BAD")&lt;&gt;"OK",IFERROR(VLOOKUP($J$17,'Section A Transfer Column'!$O$5:$Q$104,3,FALSE),"BAD")&lt;&gt;"UNUSED")),AND($M$17&lt;&gt;"",AND(IFERROR(VLOOKUP($M$17,'Section A Transfer Column'!$O$5:$Q$104,3,FALSE),"BAD")&lt;&gt;"OK",IFERROR(VLOOKUP($M$17,'Section A Transfer Column'!$O$5:$Q$104,3,FALSE),"BAD")&lt;&gt;"UNUSED")),AND($P$17&lt;&gt;"",AND(IFERROR(VLOOKUP($P$17,'Section A Transfer Column'!$O$5:$Q$104,3,FALSE),"BAD")&lt;&gt;"OK",IFERROR(VLOOKUP($P$17,'Section A Transfer Column'!$O$5:$Q$104,3,FALSE),"BAD")&lt;&gt;"UNUSED")))),"INPUT REQUIRED",IF($A17="","",IF(OR($B17="",$B17&lt;=0,$C17="",$C17&lt;=0,$T17="",$T17&lt;=0,$Z17="",$Z17&lt;=0,OR(AND($E17&lt;&gt;"",$F17=""),AND($E17="",$F17&lt;&gt;""),AND($E17&lt;&gt;"",OR($F17&lt;0,$F17&gt;$B17))),OR(AND($H17&lt;&gt;"",$I17=""),AND($H17="",$I17&lt;&gt;""),AND($H17&lt;&gt;"",OR($I17&lt;0,$I17&gt;$B17))),OR(AND($K17&lt;&gt;"",$L17=""),AND($K17="",$L17&lt;&gt;""),AND($K17&lt;&gt;"",OR($L17&lt;0,$L17&gt;$B17))),OR(AND($N17&lt;&gt;"",$O17=""),AND($N17="",$O17&lt;&gt;""),AND($N17&lt;&gt;"",OR($O17&lt;0,$O17&gt;$B17))),OR(AND($Q17&lt;&gt;"",$R17=""),AND($Q17="",$R17&lt;&gt;""),AND($Q17&lt;&gt;"",OR($R17&lt;0,$R17&gt;$B17))),AND($E17="",$H17="",$K17="",$N17="",$Q17="",$S17=0)),"INPUT REQUIRED",IF(AI38&lt;=AJ38,"OKAY","NOT OKAY"))))))</f>
        <v/>
      </c>
      <c r="Z17" s="378">
        <f>IF(Input!$C$5="","",Input!$C$5)</f>
        <v>60</v>
      </c>
      <c r="AA17" s="233" t="str">
        <f>IF(A17="","",IF(ROW()='Section B Transfer Beam Check'!$T$13,'Section B Transfer Beam Check'!$R$40,IF('_TB Analysis'!BA17="","NOT CHECKED",IF('_TB Analysis'!BA17='_TB Analysis'!BB17,'_TB Analysis'!BC17,"INPUTS CHANGED"))))</f>
        <v/>
      </c>
    </row>
    <row r="18" spans="1:42" ht="24" customHeight="1">
      <c r="A18" s="25"/>
      <c r="B18" s="26"/>
      <c r="C18" s="181"/>
      <c r="D18" s="33"/>
      <c r="E18" s="229" t="str">
        <f>IF($D$18="","",IFERROR(IF(VLOOKUP($D$18,'Section A Transfer Column'!$O$5:$Q$104,3,FALSE)="OK",VLOOKUP($D$18,'Section A Transfer Column'!$O$5:$Q$104,2,FALSE),""),""))</f>
        <v/>
      </c>
      <c r="F18" s="27"/>
      <c r="G18" s="33"/>
      <c r="H18" s="229" t="str">
        <f>IF($G$18="","",IFERROR(IF(VLOOKUP($G$18,'Section A Transfer Column'!$O$5:$Q$104,3,FALSE)="OK",VLOOKUP($G$18,'Section A Transfer Column'!$O$5:$Q$104,2,FALSE),""),""))</f>
        <v/>
      </c>
      <c r="I18" s="27"/>
      <c r="J18" s="33"/>
      <c r="K18" s="229" t="str">
        <f>IF($J$18="","",IFERROR(IF(VLOOKUP($J$18,'Section A Transfer Column'!$O$5:$Q$104,3,FALSE)="OK",VLOOKUP($J$18,'Section A Transfer Column'!$O$5:$Q$104,2,FALSE),""),""))</f>
        <v/>
      </c>
      <c r="L18" s="28"/>
      <c r="M18" s="32"/>
      <c r="N18" s="230" t="str">
        <f>IF($M$18="","",IFERROR(IF(VLOOKUP($M$18,'Section A Transfer Column'!$O$5:$Q$104,3,FALSE)="OK",VLOOKUP($M$18,'Section A Transfer Column'!$O$5:$Q$104,2,FALSE),""),""))</f>
        <v/>
      </c>
      <c r="O18" s="29"/>
      <c r="P18" s="32"/>
      <c r="Q18" s="231" t="str">
        <f>IF($P$18="","",IFERROR(IF(VLOOKUP($P$18,'Section A Transfer Column'!$O$5:$Q$104,3,FALSE)="OK",VLOOKUP($P$18,'Section A Transfer Column'!$O$5:$Q$104,2,FALSE),""),""))</f>
        <v/>
      </c>
      <c r="R18" s="30"/>
      <c r="S18" s="232">
        <f t="shared" si="0"/>
        <v>0</v>
      </c>
      <c r="T18" s="224">
        <v>1</v>
      </c>
      <c r="U18" s="238" t="s">
        <v>202</v>
      </c>
      <c r="V18" s="232" t="str">
        <f t="shared" si="1"/>
        <v/>
      </c>
      <c r="W18" s="232">
        <f>IFERROR(VLOOKUP(U18,'Section A Beam Slab'!$K$6:$L$9,2,FALSE),"")</f>
        <v>23</v>
      </c>
      <c r="X18" s="202" t="str">
        <f t="shared" si="2"/>
        <v/>
      </c>
      <c r="Y18" s="202" t="str">
        <f>IF(COUNTIF(RCLoadResults73[Member],A18),IF(OR(COUNT(B18,C18,T18,Z18)&lt;&gt;4,MIN(B18,C18,T18,Z18)&lt;=0),"INPUT REQUIRED",IF(INDEX(RCLoadResults73[Status],MATCH(A18,RCLoadResults73[Member],0))&lt;&gt;"OK","INPUT REQUIRED",IF(AI39&lt;=AJ39,"OKAY","NOT OKAY"))),IF(L41="INPUT REQUIRED","INPUT REQUIRED",IF(AND(A18&lt;&gt;"",OR(AND($D$18&lt;&gt;"",AND(IFERROR(VLOOKUP($D$18,'Section A Transfer Column'!$O$5:$Q$104,3,FALSE),"BAD")&lt;&gt;"OK",IFERROR(VLOOKUP($D$18,'Section A Transfer Column'!$O$5:$Q$104,3,FALSE),"BAD")&lt;&gt;"UNUSED")),AND($G$18&lt;&gt;"",AND(IFERROR(VLOOKUP($G$18,'Section A Transfer Column'!$O$5:$Q$104,3,FALSE),"BAD")&lt;&gt;"OK",IFERROR(VLOOKUP($G$18,'Section A Transfer Column'!$O$5:$Q$104,3,FALSE),"BAD")&lt;&gt;"UNUSED")),AND($J$18&lt;&gt;"",AND(IFERROR(VLOOKUP($J$18,'Section A Transfer Column'!$O$5:$Q$104,3,FALSE),"BAD")&lt;&gt;"OK",IFERROR(VLOOKUP($J$18,'Section A Transfer Column'!$O$5:$Q$104,3,FALSE),"BAD")&lt;&gt;"UNUSED")),AND($M$18&lt;&gt;"",AND(IFERROR(VLOOKUP($M$18,'Section A Transfer Column'!$O$5:$Q$104,3,FALSE),"BAD")&lt;&gt;"OK",IFERROR(VLOOKUP($M$18,'Section A Transfer Column'!$O$5:$Q$104,3,FALSE),"BAD")&lt;&gt;"UNUSED")),AND($P$18&lt;&gt;"",AND(IFERROR(VLOOKUP($P$18,'Section A Transfer Column'!$O$5:$Q$104,3,FALSE),"BAD")&lt;&gt;"OK",IFERROR(VLOOKUP($P$18,'Section A Transfer Column'!$O$5:$Q$104,3,FALSE),"BAD")&lt;&gt;"UNUSED")))),"INPUT REQUIRED",IF($A18="","",IF(OR($B18="",$B18&lt;=0,$C18="",$C18&lt;=0,$T18="",$T18&lt;=0,$Z18="",$Z18&lt;=0,OR(AND($E18&lt;&gt;"",$F18=""),AND($E18="",$F18&lt;&gt;""),AND($E18&lt;&gt;"",OR($F18&lt;0,$F18&gt;$B18))),OR(AND($H18&lt;&gt;"",$I18=""),AND($H18="",$I18&lt;&gt;""),AND($H18&lt;&gt;"",OR($I18&lt;0,$I18&gt;$B18))),OR(AND($K18&lt;&gt;"",$L18=""),AND($K18="",$L18&lt;&gt;""),AND($K18&lt;&gt;"",OR($L18&lt;0,$L18&gt;$B18))),OR(AND($N18&lt;&gt;"",$O18=""),AND($N18="",$O18&lt;&gt;""),AND($N18&lt;&gt;"",OR($O18&lt;0,$O18&gt;$B18))),OR(AND($Q18&lt;&gt;"",$R18=""),AND($Q18="",$R18&lt;&gt;""),AND($Q18&lt;&gt;"",OR($R18&lt;0,$R18&gt;$B18))),AND($E18="",$H18="",$K18="",$N18="",$Q18="",$S18=0)),"INPUT REQUIRED",IF(AI39&lt;=AJ39,"OKAY","NOT OKAY"))))))</f>
        <v/>
      </c>
      <c r="Z18" s="378">
        <f>IF(Input!$C$5="","",Input!$C$5)</f>
        <v>60</v>
      </c>
      <c r="AA18" s="233" t="str">
        <f>IF(A18="","",IF(ROW()='Section B Transfer Beam Check'!$T$13,'Section B Transfer Beam Check'!$R$40,IF('_TB Analysis'!BA18="","NOT CHECKED",IF('_TB Analysis'!BA18='_TB Analysis'!BB18,'_TB Analysis'!BC18,"INPUTS CHANGED"))))</f>
        <v/>
      </c>
    </row>
    <row r="19" spans="1:42" ht="24" customHeight="1">
      <c r="A19" s="25"/>
      <c r="B19" s="26"/>
      <c r="C19" s="181"/>
      <c r="D19" s="33"/>
      <c r="E19" s="229" t="str">
        <f>IF($D$19="","",IFERROR(IF(VLOOKUP($D$19,'Section A Transfer Column'!$O$5:$Q$104,3,FALSE)="OK",VLOOKUP($D$19,'Section A Transfer Column'!$O$5:$Q$104,2,FALSE),""),""))</f>
        <v/>
      </c>
      <c r="F19" s="27"/>
      <c r="G19" s="33"/>
      <c r="H19" s="229" t="str">
        <f>IF($G$19="","",IFERROR(IF(VLOOKUP($G$19,'Section A Transfer Column'!$O$5:$Q$104,3,FALSE)="OK",VLOOKUP($G$19,'Section A Transfer Column'!$O$5:$Q$104,2,FALSE),""),""))</f>
        <v/>
      </c>
      <c r="I19" s="27"/>
      <c r="J19" s="33"/>
      <c r="K19" s="229" t="str">
        <f>IF($J$19="","",IFERROR(IF(VLOOKUP($J$19,'Section A Transfer Column'!$O$5:$Q$104,3,FALSE)="OK",VLOOKUP($J$19,'Section A Transfer Column'!$O$5:$Q$104,2,FALSE),""),""))</f>
        <v/>
      </c>
      <c r="L19" s="28"/>
      <c r="M19" s="32"/>
      <c r="N19" s="230" t="str">
        <f>IF($M$19="","",IFERROR(IF(VLOOKUP($M$19,'Section A Transfer Column'!$O$5:$Q$104,3,FALSE)="OK",VLOOKUP($M$19,'Section A Transfer Column'!$O$5:$Q$104,2,FALSE),""),""))</f>
        <v/>
      </c>
      <c r="O19" s="29"/>
      <c r="P19" s="32"/>
      <c r="Q19" s="231" t="str">
        <f>IF($P$19="","",IFERROR(IF(VLOOKUP($P$19,'Section A Transfer Column'!$O$5:$Q$104,3,FALSE)="OK",VLOOKUP($P$19,'Section A Transfer Column'!$O$5:$Q$104,2,FALSE),""),""))</f>
        <v/>
      </c>
      <c r="R19" s="30"/>
      <c r="S19" s="232">
        <f t="shared" si="0"/>
        <v>0</v>
      </c>
      <c r="T19" s="224">
        <v>1</v>
      </c>
      <c r="U19" s="238" t="s">
        <v>202</v>
      </c>
      <c r="V19" s="232" t="str">
        <f t="shared" si="1"/>
        <v/>
      </c>
      <c r="W19" s="232">
        <f>IFERROR(VLOOKUP(U19,'Section A Beam Slab'!$K$6:$L$9,2,FALSE),"")</f>
        <v>23</v>
      </c>
      <c r="X19" s="202" t="str">
        <f t="shared" si="2"/>
        <v/>
      </c>
      <c r="Y19" s="202" t="str">
        <f>IF(COUNTIF(RCLoadResults73[Member],A19),IF(OR(COUNT(B19,C19,T19,Z19)&lt;&gt;4,MIN(B19,C19,T19,Z19)&lt;=0),"INPUT REQUIRED",IF(INDEX(RCLoadResults73[Status],MATCH(A19,RCLoadResults73[Member],0))&lt;&gt;"OK","INPUT REQUIRED",IF(AI40&lt;=AJ40,"OKAY","NOT OKAY"))),IF(L42="INPUT REQUIRED","INPUT REQUIRED",IF(AND(A19&lt;&gt;"",OR(AND($D$19&lt;&gt;"",AND(IFERROR(VLOOKUP($D$19,'Section A Transfer Column'!$O$5:$Q$104,3,FALSE),"BAD")&lt;&gt;"OK",IFERROR(VLOOKUP($D$19,'Section A Transfer Column'!$O$5:$Q$104,3,FALSE),"BAD")&lt;&gt;"UNUSED")),AND($G$19&lt;&gt;"",AND(IFERROR(VLOOKUP($G$19,'Section A Transfer Column'!$O$5:$Q$104,3,FALSE),"BAD")&lt;&gt;"OK",IFERROR(VLOOKUP($G$19,'Section A Transfer Column'!$O$5:$Q$104,3,FALSE),"BAD")&lt;&gt;"UNUSED")),AND($J$19&lt;&gt;"",AND(IFERROR(VLOOKUP($J$19,'Section A Transfer Column'!$O$5:$Q$104,3,FALSE),"BAD")&lt;&gt;"OK",IFERROR(VLOOKUP($J$19,'Section A Transfer Column'!$O$5:$Q$104,3,FALSE),"BAD")&lt;&gt;"UNUSED")),AND($M$19&lt;&gt;"",AND(IFERROR(VLOOKUP($M$19,'Section A Transfer Column'!$O$5:$Q$104,3,FALSE),"BAD")&lt;&gt;"OK",IFERROR(VLOOKUP($M$19,'Section A Transfer Column'!$O$5:$Q$104,3,FALSE),"BAD")&lt;&gt;"UNUSED")),AND($P$19&lt;&gt;"",AND(IFERROR(VLOOKUP($P$19,'Section A Transfer Column'!$O$5:$Q$104,3,FALSE),"BAD")&lt;&gt;"OK",IFERROR(VLOOKUP($P$19,'Section A Transfer Column'!$O$5:$Q$104,3,FALSE),"BAD")&lt;&gt;"UNUSED")))),"INPUT REQUIRED",IF($A19="","",IF(OR($B19="",$B19&lt;=0,$C19="",$C19&lt;=0,$T19="",$T19&lt;=0,$Z19="",$Z19&lt;=0,OR(AND($E19&lt;&gt;"",$F19=""),AND($E19="",$F19&lt;&gt;""),AND($E19&lt;&gt;"",OR($F19&lt;0,$F19&gt;$B19))),OR(AND($H19&lt;&gt;"",$I19=""),AND($H19="",$I19&lt;&gt;""),AND($H19&lt;&gt;"",OR($I19&lt;0,$I19&gt;$B19))),OR(AND($K19&lt;&gt;"",$L19=""),AND($K19="",$L19&lt;&gt;""),AND($K19&lt;&gt;"",OR($L19&lt;0,$L19&gt;$B19))),OR(AND($N19&lt;&gt;"",$O19=""),AND($N19="",$O19&lt;&gt;""),AND($N19&lt;&gt;"",OR($O19&lt;0,$O19&gt;$B19))),OR(AND($Q19&lt;&gt;"",$R19=""),AND($Q19="",$R19&lt;&gt;""),AND($Q19&lt;&gt;"",OR($R19&lt;0,$R19&gt;$B19))),AND($E19="",$H19="",$K19="",$N19="",$Q19="",$S19=0)),"INPUT REQUIRED",IF(AI40&lt;=AJ40,"OKAY","NOT OKAY"))))))</f>
        <v/>
      </c>
      <c r="Z19" s="378">
        <f>IF(Input!$C$5="","",Input!$C$5)</f>
        <v>60</v>
      </c>
      <c r="AA19" s="233" t="str">
        <f>IF(A19="","",IF(ROW()='Section B Transfer Beam Check'!$T$13,'Section B Transfer Beam Check'!$R$40,IF('_TB Analysis'!BA19="","NOT CHECKED",IF('_TB Analysis'!BA19='_TB Analysis'!BB19,'_TB Analysis'!BC19,"INPUTS CHANGED"))))</f>
        <v/>
      </c>
    </row>
    <row r="20" spans="1:42" ht="28.05" customHeight="1">
      <c r="A20" s="25"/>
      <c r="B20" s="26"/>
      <c r="C20" s="181"/>
      <c r="D20" s="33"/>
      <c r="E20" s="229" t="str">
        <f>IF($D$20="","",IFERROR(IF(VLOOKUP($D$20,'Section A Transfer Column'!$O$5:$Q$104,3,FALSE)="OK",VLOOKUP($D$20,'Section A Transfer Column'!$O$5:$Q$104,2,FALSE),""),""))</f>
        <v/>
      </c>
      <c r="F20" s="27"/>
      <c r="G20" s="33"/>
      <c r="H20" s="229" t="str">
        <f>IF($G$20="","",IFERROR(IF(VLOOKUP($G$20,'Section A Transfer Column'!$O$5:$Q$104,3,FALSE)="OK",VLOOKUP($G$20,'Section A Transfer Column'!$O$5:$Q$104,2,FALSE),""),""))</f>
        <v/>
      </c>
      <c r="I20" s="27"/>
      <c r="J20" s="33"/>
      <c r="K20" s="229" t="str">
        <f>IF($J$20="","",IFERROR(IF(VLOOKUP($J$20,'Section A Transfer Column'!$O$5:$Q$104,3,FALSE)="OK",VLOOKUP($J$20,'Section A Transfer Column'!$O$5:$Q$104,2,FALSE),""),""))</f>
        <v/>
      </c>
      <c r="L20" s="28"/>
      <c r="M20" s="32"/>
      <c r="N20" s="230" t="str">
        <f>IF($M$20="","",IFERROR(IF(VLOOKUP($M$20,'Section A Transfer Column'!$O$5:$Q$104,3,FALSE)="OK",VLOOKUP($M$20,'Section A Transfer Column'!$O$5:$Q$104,2,FALSE),""),""))</f>
        <v/>
      </c>
      <c r="O20" s="29"/>
      <c r="P20" s="32"/>
      <c r="Q20" s="231" t="str">
        <f>IF($P$20="","",IFERROR(IF(VLOOKUP($P$20,'Section A Transfer Column'!$O$5:$Q$104,3,FALSE)="OK",VLOOKUP($P$20,'Section A Transfer Column'!$O$5:$Q$104,2,FALSE),""),""))</f>
        <v/>
      </c>
      <c r="R20" s="30"/>
      <c r="S20" s="232">
        <f t="shared" si="0"/>
        <v>0</v>
      </c>
      <c r="T20" s="224">
        <v>1</v>
      </c>
      <c r="U20" s="238" t="s">
        <v>202</v>
      </c>
      <c r="V20" s="232" t="str">
        <f t="shared" si="1"/>
        <v/>
      </c>
      <c r="W20" s="232">
        <f>IFERROR(VLOOKUP(U20,'Section A Beam Slab'!$K$6:$L$9,2,FALSE),"")</f>
        <v>23</v>
      </c>
      <c r="X20" s="202" t="str">
        <f t="shared" si="2"/>
        <v/>
      </c>
      <c r="Y20" s="202" t="str">
        <f>IF(COUNTIF(RCLoadResults73[Member],A20),IF(OR(COUNT(B20,C20,T20,Z20)&lt;&gt;4,MIN(B20,C20,T20,Z20)&lt;=0),"INPUT REQUIRED",IF(INDEX(RCLoadResults73[Status],MATCH(A20,RCLoadResults73[Member],0))&lt;&gt;"OK","INPUT REQUIRED",IF(AI41&lt;=AJ41,"OKAY","NOT OKAY"))),IF(L43="INPUT REQUIRED","INPUT REQUIRED",IF(AND(A20&lt;&gt;"",OR(AND($D$20&lt;&gt;"",AND(IFERROR(VLOOKUP($D$20,'Section A Transfer Column'!$O$5:$Q$104,3,FALSE),"BAD")&lt;&gt;"OK",IFERROR(VLOOKUP($D$20,'Section A Transfer Column'!$O$5:$Q$104,3,FALSE),"BAD")&lt;&gt;"UNUSED")),AND($G$20&lt;&gt;"",AND(IFERROR(VLOOKUP($G$20,'Section A Transfer Column'!$O$5:$Q$104,3,FALSE),"BAD")&lt;&gt;"OK",IFERROR(VLOOKUP($G$20,'Section A Transfer Column'!$O$5:$Q$104,3,FALSE),"BAD")&lt;&gt;"UNUSED")),AND($J$20&lt;&gt;"",AND(IFERROR(VLOOKUP($J$20,'Section A Transfer Column'!$O$5:$Q$104,3,FALSE),"BAD")&lt;&gt;"OK",IFERROR(VLOOKUP($J$20,'Section A Transfer Column'!$O$5:$Q$104,3,FALSE),"BAD")&lt;&gt;"UNUSED")),AND($M$20&lt;&gt;"",AND(IFERROR(VLOOKUP($M$20,'Section A Transfer Column'!$O$5:$Q$104,3,FALSE),"BAD")&lt;&gt;"OK",IFERROR(VLOOKUP($M$20,'Section A Transfer Column'!$O$5:$Q$104,3,FALSE),"BAD")&lt;&gt;"UNUSED")),AND($P$20&lt;&gt;"",AND(IFERROR(VLOOKUP($P$20,'Section A Transfer Column'!$O$5:$Q$104,3,FALSE),"BAD")&lt;&gt;"OK",IFERROR(VLOOKUP($P$20,'Section A Transfer Column'!$O$5:$Q$104,3,FALSE),"BAD")&lt;&gt;"UNUSED")))),"INPUT REQUIRED",IF($A20="","",IF(OR($B20="",$B20&lt;=0,$C20="",$C20&lt;=0,$T20="",$T20&lt;=0,$Z20="",$Z20&lt;=0,OR(AND($E20&lt;&gt;"",$F20=""),AND($E20="",$F20&lt;&gt;""),AND($E20&lt;&gt;"",OR($F20&lt;0,$F20&gt;$B20))),OR(AND($H20&lt;&gt;"",$I20=""),AND($H20="",$I20&lt;&gt;""),AND($H20&lt;&gt;"",OR($I20&lt;0,$I20&gt;$B20))),OR(AND($K20&lt;&gt;"",$L20=""),AND($K20="",$L20&lt;&gt;""),AND($K20&lt;&gt;"",OR($L20&lt;0,$L20&gt;$B20))),OR(AND($N20&lt;&gt;"",$O20=""),AND($N20="",$O20&lt;&gt;""),AND($N20&lt;&gt;"",OR($O20&lt;0,$O20&gt;$B20))),OR(AND($Q20&lt;&gt;"",$R20=""),AND($Q20="",$R20&lt;&gt;""),AND($Q20&lt;&gt;"",OR($R20&lt;0,$R20&gt;$B20))),AND($E20="",$H20="",$K20="",$N20="",$Q20="",$S20=0)),"INPUT REQUIRED",IF(AI41&lt;=AJ41,"OKAY","NOT OKAY"))))))</f>
        <v/>
      </c>
      <c r="Z20" s="378">
        <f>IF(Input!$C$5="","",Input!$C$5)</f>
        <v>60</v>
      </c>
      <c r="AA20" s="233" t="str">
        <f>IF(A20="","",IF(ROW()='Section B Transfer Beam Check'!$T$13,'Section B Transfer Beam Check'!$R$40,IF('_TB Analysis'!BA20="","NOT CHECKED",IF('_TB Analysis'!BA20='_TB Analysis'!BB20,'_TB Analysis'!BC20,"INPUTS CHANGED"))))</f>
        <v/>
      </c>
    </row>
    <row r="21" spans="1:42" ht="30" customHeight="1">
      <c r="A21" s="25"/>
      <c r="B21" s="26"/>
      <c r="C21" s="181"/>
      <c r="D21" s="33"/>
      <c r="E21" s="229" t="str">
        <f>IF($D$21="","",IFERROR(IF(VLOOKUP($D$21,'Section A Transfer Column'!$O$5:$Q$104,3,FALSE)="OK",VLOOKUP($D$21,'Section A Transfer Column'!$O$5:$Q$104,2,FALSE),""),""))</f>
        <v/>
      </c>
      <c r="F21" s="27"/>
      <c r="G21" s="33"/>
      <c r="H21" s="229" t="str">
        <f>IF($G$21="","",IFERROR(IF(VLOOKUP($G$21,'Section A Transfer Column'!$O$5:$Q$104,3,FALSE)="OK",VLOOKUP($G$21,'Section A Transfer Column'!$O$5:$Q$104,2,FALSE),""),""))</f>
        <v/>
      </c>
      <c r="I21" s="27"/>
      <c r="J21" s="33"/>
      <c r="K21" s="229" t="str">
        <f>IF($J$21="","",IFERROR(IF(VLOOKUP($J$21,'Section A Transfer Column'!$O$5:$Q$104,3,FALSE)="OK",VLOOKUP($J$21,'Section A Transfer Column'!$O$5:$Q$104,2,FALSE),""),""))</f>
        <v/>
      </c>
      <c r="L21" s="28"/>
      <c r="M21" s="32"/>
      <c r="N21" s="230" t="str">
        <f>IF($M$21="","",IFERROR(IF(VLOOKUP($M$21,'Section A Transfer Column'!$O$5:$Q$104,3,FALSE)="OK",VLOOKUP($M$21,'Section A Transfer Column'!$O$5:$Q$104,2,FALSE),""),""))</f>
        <v/>
      </c>
      <c r="O21" s="29"/>
      <c r="P21" s="32"/>
      <c r="Q21" s="231" t="str">
        <f>IF($P$21="","",IFERROR(IF(VLOOKUP($P$21,'Section A Transfer Column'!$O$5:$Q$104,3,FALSE)="OK",VLOOKUP($P$21,'Section A Transfer Column'!$O$5:$Q$104,2,FALSE),""),""))</f>
        <v/>
      </c>
      <c r="R21" s="30"/>
      <c r="S21" s="232">
        <f t="shared" si="0"/>
        <v>0</v>
      </c>
      <c r="T21" s="224">
        <v>1</v>
      </c>
      <c r="U21" s="238" t="s">
        <v>202</v>
      </c>
      <c r="V21" s="232" t="str">
        <f t="shared" si="1"/>
        <v/>
      </c>
      <c r="W21" s="232">
        <f>IFERROR(VLOOKUP(U21,'Section A Beam Slab'!$K$6:$L$9,2,FALSE),"")</f>
        <v>23</v>
      </c>
      <c r="X21" s="202" t="str">
        <f t="shared" si="2"/>
        <v/>
      </c>
      <c r="Y21" s="202" t="str">
        <f>IF(COUNTIF(RCLoadResults73[Member],A21),IF(OR(COUNT(B21,C21,T21,Z21)&lt;&gt;4,MIN(B21,C21,T21,Z21)&lt;=0),"INPUT REQUIRED",IF(INDEX(RCLoadResults73[Status],MATCH(A21,RCLoadResults73[Member],0))&lt;&gt;"OK","INPUT REQUIRED",IF(AI42&lt;=AJ42,"OKAY","NOT OKAY"))),IF(L44="INPUT REQUIRED","INPUT REQUIRED",IF(AND(A21&lt;&gt;"",OR(AND($D$21&lt;&gt;"",AND(IFERROR(VLOOKUP($D$21,'Section A Transfer Column'!$O$5:$Q$104,3,FALSE),"BAD")&lt;&gt;"OK",IFERROR(VLOOKUP($D$21,'Section A Transfer Column'!$O$5:$Q$104,3,FALSE),"BAD")&lt;&gt;"UNUSED")),AND($G$21&lt;&gt;"",AND(IFERROR(VLOOKUP($G$21,'Section A Transfer Column'!$O$5:$Q$104,3,FALSE),"BAD")&lt;&gt;"OK",IFERROR(VLOOKUP($G$21,'Section A Transfer Column'!$O$5:$Q$104,3,FALSE),"BAD")&lt;&gt;"UNUSED")),AND($J$21&lt;&gt;"",AND(IFERROR(VLOOKUP($J$21,'Section A Transfer Column'!$O$5:$Q$104,3,FALSE),"BAD")&lt;&gt;"OK",IFERROR(VLOOKUP($J$21,'Section A Transfer Column'!$O$5:$Q$104,3,FALSE),"BAD")&lt;&gt;"UNUSED")),AND($M$21&lt;&gt;"",AND(IFERROR(VLOOKUP($M$21,'Section A Transfer Column'!$O$5:$Q$104,3,FALSE),"BAD")&lt;&gt;"OK",IFERROR(VLOOKUP($M$21,'Section A Transfer Column'!$O$5:$Q$104,3,FALSE),"BAD")&lt;&gt;"UNUSED")),AND($P$21&lt;&gt;"",AND(IFERROR(VLOOKUP($P$21,'Section A Transfer Column'!$O$5:$Q$104,3,FALSE),"BAD")&lt;&gt;"OK",IFERROR(VLOOKUP($P$21,'Section A Transfer Column'!$O$5:$Q$104,3,FALSE),"BAD")&lt;&gt;"UNUSED")))),"INPUT REQUIRED",IF($A21="","",IF(OR($B21="",$B21&lt;=0,$C21="",$C21&lt;=0,$T21="",$T21&lt;=0,$Z21="",$Z21&lt;=0,OR(AND($E21&lt;&gt;"",$F21=""),AND($E21="",$F21&lt;&gt;""),AND($E21&lt;&gt;"",OR($F21&lt;0,$F21&gt;$B21))),OR(AND($H21&lt;&gt;"",$I21=""),AND($H21="",$I21&lt;&gt;""),AND($H21&lt;&gt;"",OR($I21&lt;0,$I21&gt;$B21))),OR(AND($K21&lt;&gt;"",$L21=""),AND($K21="",$L21&lt;&gt;""),AND($K21&lt;&gt;"",OR($L21&lt;0,$L21&gt;$B21))),OR(AND($N21&lt;&gt;"",$O21=""),AND($N21="",$O21&lt;&gt;""),AND($N21&lt;&gt;"",OR($O21&lt;0,$O21&gt;$B21))),OR(AND($Q21&lt;&gt;"",$R21=""),AND($Q21="",$R21&lt;&gt;""),AND($Q21&lt;&gt;"",OR($R21&lt;0,$R21&gt;$B21))),AND($E21="",$H21="",$K21="",$N21="",$Q21="",$S21=0)),"INPUT REQUIRED",IF(AI42&lt;=AJ42,"OKAY","NOT OKAY"))))))</f>
        <v/>
      </c>
      <c r="Z21" s="378">
        <f>IF(Input!$C$5="","",Input!$C$5)</f>
        <v>60</v>
      </c>
      <c r="AA21" s="233" t="str">
        <f>IF(A21="","",IF(ROW()='Section B Transfer Beam Check'!$T$13,'Section B Transfer Beam Check'!$R$40,IF('_TB Analysis'!BA21="","NOT CHECKED",IF('_TB Analysis'!BA21='_TB Analysis'!BB21,'_TB Analysis'!BC21,"INPUTS CHANGED"))))</f>
        <v/>
      </c>
      <c r="AH21" s="451" t="s">
        <v>195</v>
      </c>
      <c r="AI21" s="451"/>
      <c r="AJ21" s="451"/>
      <c r="AK21" s="451"/>
      <c r="AL21" s="451"/>
      <c r="AM21" s="451"/>
      <c r="AN21" s="451"/>
      <c r="AO21" s="451"/>
      <c r="AP21" s="451"/>
    </row>
    <row r="22" spans="1:42" ht="28.05" customHeight="1">
      <c r="A22" s="25"/>
      <c r="B22" s="26"/>
      <c r="C22" s="181"/>
      <c r="D22" s="33"/>
      <c r="E22" s="229" t="str">
        <f>IF($D$22="","",IFERROR(IF(VLOOKUP($D$22,'Section A Transfer Column'!$O$5:$Q$104,3,FALSE)="OK",VLOOKUP($D$22,'Section A Transfer Column'!$O$5:$Q$104,2,FALSE),""),""))</f>
        <v/>
      </c>
      <c r="F22" s="27"/>
      <c r="G22" s="33"/>
      <c r="H22" s="229" t="str">
        <f>IF($G$22="","",IFERROR(IF(VLOOKUP($G$22,'Section A Transfer Column'!$O$5:$Q$104,3,FALSE)="OK",VLOOKUP($G$22,'Section A Transfer Column'!$O$5:$Q$104,2,FALSE),""),""))</f>
        <v/>
      </c>
      <c r="I22" s="27"/>
      <c r="J22" s="33"/>
      <c r="K22" s="229" t="str">
        <f>IF($J$22="","",IFERROR(IF(VLOOKUP($J$22,'Section A Transfer Column'!$O$5:$Q$104,3,FALSE)="OK",VLOOKUP($J$22,'Section A Transfer Column'!$O$5:$Q$104,2,FALSE),""),""))</f>
        <v/>
      </c>
      <c r="L22" s="28"/>
      <c r="M22" s="32"/>
      <c r="N22" s="230" t="str">
        <f>IF($M$22="","",IFERROR(IF(VLOOKUP($M$22,'Section A Transfer Column'!$O$5:$Q$104,3,FALSE)="OK",VLOOKUP($M$22,'Section A Transfer Column'!$O$5:$Q$104,2,FALSE),""),""))</f>
        <v/>
      </c>
      <c r="O22" s="29"/>
      <c r="P22" s="32"/>
      <c r="Q22" s="231" t="str">
        <f>IF($P$22="","",IFERROR(IF(VLOOKUP($P$22,'Section A Transfer Column'!$O$5:$Q$104,3,FALSE)="OK",VLOOKUP($P$22,'Section A Transfer Column'!$O$5:$Q$104,2,FALSE),""),""))</f>
        <v/>
      </c>
      <c r="R22" s="30"/>
      <c r="S22" s="232">
        <f t="shared" si="0"/>
        <v>0</v>
      </c>
      <c r="T22" s="224">
        <v>1</v>
      </c>
      <c r="U22" s="238" t="s">
        <v>202</v>
      </c>
      <c r="V22" s="232" t="str">
        <f t="shared" si="1"/>
        <v/>
      </c>
      <c r="W22" s="232">
        <f>IFERROR(VLOOKUP(U22,'Section A Beam Slab'!$K$6:$L$9,2,FALSE),"")</f>
        <v>23</v>
      </c>
      <c r="X22" s="202" t="str">
        <f t="shared" si="2"/>
        <v/>
      </c>
      <c r="Y22" s="202" t="str">
        <f>IF(COUNTIF(RCLoadResults73[Member],A22),IF(OR(COUNT(B22,C22,T22,Z22)&lt;&gt;4,MIN(B22,C22,T22,Z22)&lt;=0),"INPUT REQUIRED",IF(INDEX(RCLoadResults73[Status],MATCH(A22,RCLoadResults73[Member],0))&lt;&gt;"OK","INPUT REQUIRED",IF(AI43&lt;=AJ43,"OKAY","NOT OKAY"))),IF(L45="INPUT REQUIRED","INPUT REQUIRED",IF(AND(A22&lt;&gt;"",OR(AND($D$22&lt;&gt;"",AND(IFERROR(VLOOKUP($D$22,'Section A Transfer Column'!$O$5:$Q$104,3,FALSE),"BAD")&lt;&gt;"OK",IFERROR(VLOOKUP($D$22,'Section A Transfer Column'!$O$5:$Q$104,3,FALSE),"BAD")&lt;&gt;"UNUSED")),AND($G$22&lt;&gt;"",AND(IFERROR(VLOOKUP($G$22,'Section A Transfer Column'!$O$5:$Q$104,3,FALSE),"BAD")&lt;&gt;"OK",IFERROR(VLOOKUP($G$22,'Section A Transfer Column'!$O$5:$Q$104,3,FALSE),"BAD")&lt;&gt;"UNUSED")),AND($J$22&lt;&gt;"",AND(IFERROR(VLOOKUP($J$22,'Section A Transfer Column'!$O$5:$Q$104,3,FALSE),"BAD")&lt;&gt;"OK",IFERROR(VLOOKUP($J$22,'Section A Transfer Column'!$O$5:$Q$104,3,FALSE),"BAD")&lt;&gt;"UNUSED")),AND($M$22&lt;&gt;"",AND(IFERROR(VLOOKUP($M$22,'Section A Transfer Column'!$O$5:$Q$104,3,FALSE),"BAD")&lt;&gt;"OK",IFERROR(VLOOKUP($M$22,'Section A Transfer Column'!$O$5:$Q$104,3,FALSE),"BAD")&lt;&gt;"UNUSED")),AND($P$22&lt;&gt;"",AND(IFERROR(VLOOKUP($P$22,'Section A Transfer Column'!$O$5:$Q$104,3,FALSE),"BAD")&lt;&gt;"OK",IFERROR(VLOOKUP($P$22,'Section A Transfer Column'!$O$5:$Q$104,3,FALSE),"BAD")&lt;&gt;"UNUSED")))),"INPUT REQUIRED",IF($A22="","",IF(OR($B22="",$B22&lt;=0,$C22="",$C22&lt;=0,$T22="",$T22&lt;=0,$Z22="",$Z22&lt;=0,OR(AND($E22&lt;&gt;"",$F22=""),AND($E22="",$F22&lt;&gt;""),AND($E22&lt;&gt;"",OR($F22&lt;0,$F22&gt;$B22))),OR(AND($H22&lt;&gt;"",$I22=""),AND($H22="",$I22&lt;&gt;""),AND($H22&lt;&gt;"",OR($I22&lt;0,$I22&gt;$B22))),OR(AND($K22&lt;&gt;"",$L22=""),AND($K22="",$L22&lt;&gt;""),AND($K22&lt;&gt;"",OR($L22&lt;0,$L22&gt;$B22))),OR(AND($N22&lt;&gt;"",$O22=""),AND($N22="",$O22&lt;&gt;""),AND($N22&lt;&gt;"",OR($O22&lt;0,$O22&gt;$B22))),OR(AND($Q22&lt;&gt;"",$R22=""),AND($Q22="",$R22&lt;&gt;""),AND($Q22&lt;&gt;"",OR($R22&lt;0,$R22&gt;$B22))),AND($E22="",$H22="",$K22="",$N22="",$Q22="",$S22=0)),"INPUT REQUIRED",IF(AI43&lt;=AJ43,"OKAY","NOT OKAY"))))))</f>
        <v/>
      </c>
      <c r="Z22" s="378">
        <f>IF(Input!$C$5="","",Input!$C$5)</f>
        <v>60</v>
      </c>
      <c r="AA22" s="233" t="str">
        <f>IF(A22="","",IF(ROW()='Section B Transfer Beam Check'!$T$13,'Section B Transfer Beam Check'!$R$40,IF('_TB Analysis'!BA22="","NOT CHECKED",IF('_TB Analysis'!BA22='_TB Analysis'!BB22,'_TB Analysis'!BC22,"INPUTS CHANGED"))))</f>
        <v/>
      </c>
    </row>
    <row r="23" spans="1:42" ht="37.950000000000003" customHeight="1">
      <c r="A23" s="25"/>
      <c r="B23" s="26"/>
      <c r="C23" s="181"/>
      <c r="D23" s="33"/>
      <c r="E23" s="229" t="str">
        <f>IF($D$23="","",IFERROR(IF(VLOOKUP($D$23,'Section A Transfer Column'!$O$5:$Q$104,3,FALSE)="OK",VLOOKUP($D$23,'Section A Transfer Column'!$O$5:$Q$104,2,FALSE),""),""))</f>
        <v/>
      </c>
      <c r="F23" s="27"/>
      <c r="G23" s="33"/>
      <c r="H23" s="229" t="str">
        <f>IF($G$23="","",IFERROR(IF(VLOOKUP($G$23,'Section A Transfer Column'!$O$5:$Q$104,3,FALSE)="OK",VLOOKUP($G$23,'Section A Transfer Column'!$O$5:$Q$104,2,FALSE),""),""))</f>
        <v/>
      </c>
      <c r="I23" s="27"/>
      <c r="J23" s="33"/>
      <c r="K23" s="229" t="str">
        <f>IF($J$23="","",IFERROR(IF(VLOOKUP($J$23,'Section A Transfer Column'!$O$5:$Q$104,3,FALSE)="OK",VLOOKUP($J$23,'Section A Transfer Column'!$O$5:$Q$104,2,FALSE),""),""))</f>
        <v/>
      </c>
      <c r="L23" s="28"/>
      <c r="M23" s="32"/>
      <c r="N23" s="230" t="str">
        <f>IF($M$23="","",IFERROR(IF(VLOOKUP($M$23,'Section A Transfer Column'!$O$5:$Q$104,3,FALSE)="OK",VLOOKUP($M$23,'Section A Transfer Column'!$O$5:$Q$104,2,FALSE),""),""))</f>
        <v/>
      </c>
      <c r="O23" s="29"/>
      <c r="P23" s="32"/>
      <c r="Q23" s="231" t="str">
        <f>IF($P$23="","",IFERROR(IF(VLOOKUP($P$23,'Section A Transfer Column'!$O$5:$Q$104,3,FALSE)="OK",VLOOKUP($P$23,'Section A Transfer Column'!$O$5:$Q$104,2,FALSE),""),""))</f>
        <v/>
      </c>
      <c r="R23" s="30"/>
      <c r="S23" s="232">
        <f t="shared" si="0"/>
        <v>0</v>
      </c>
      <c r="T23" s="224">
        <v>1</v>
      </c>
      <c r="U23" s="238" t="s">
        <v>202</v>
      </c>
      <c r="V23" s="232" t="str">
        <f t="shared" si="1"/>
        <v/>
      </c>
      <c r="W23" s="232">
        <f>IFERROR(VLOOKUP(U23,'Section A Beam Slab'!$K$6:$L$9,2,FALSE),"")</f>
        <v>23</v>
      </c>
      <c r="X23" s="202" t="str">
        <f t="shared" si="2"/>
        <v/>
      </c>
      <c r="Y23" s="202" t="str">
        <f>IF(COUNTIF(RCLoadResults73[Member],A23),IF(OR(COUNT(B23,C23,T23,Z23)&lt;&gt;4,MIN(B23,C23,T23,Z23)&lt;=0),"INPUT REQUIRED",IF(INDEX(RCLoadResults73[Status],MATCH(A23,RCLoadResults73[Member],0))&lt;&gt;"OK","INPUT REQUIRED",IF(AI44&lt;=AJ44,"OKAY","NOT OKAY"))),IF(L46="INPUT REQUIRED","INPUT REQUIRED",IF(AND(A23&lt;&gt;"",OR(AND($D$23&lt;&gt;"",AND(IFERROR(VLOOKUP($D$23,'Section A Transfer Column'!$O$5:$Q$104,3,FALSE),"BAD")&lt;&gt;"OK",IFERROR(VLOOKUP($D$23,'Section A Transfer Column'!$O$5:$Q$104,3,FALSE),"BAD")&lt;&gt;"UNUSED")),AND($G$23&lt;&gt;"",AND(IFERROR(VLOOKUP($G$23,'Section A Transfer Column'!$O$5:$Q$104,3,FALSE),"BAD")&lt;&gt;"OK",IFERROR(VLOOKUP($G$23,'Section A Transfer Column'!$O$5:$Q$104,3,FALSE),"BAD")&lt;&gt;"UNUSED")),AND($J$23&lt;&gt;"",AND(IFERROR(VLOOKUP($J$23,'Section A Transfer Column'!$O$5:$Q$104,3,FALSE),"BAD")&lt;&gt;"OK",IFERROR(VLOOKUP($J$23,'Section A Transfer Column'!$O$5:$Q$104,3,FALSE),"BAD")&lt;&gt;"UNUSED")),AND($M$23&lt;&gt;"",AND(IFERROR(VLOOKUP($M$23,'Section A Transfer Column'!$O$5:$Q$104,3,FALSE),"BAD")&lt;&gt;"OK",IFERROR(VLOOKUP($M$23,'Section A Transfer Column'!$O$5:$Q$104,3,FALSE),"BAD")&lt;&gt;"UNUSED")),AND($P$23&lt;&gt;"",AND(IFERROR(VLOOKUP($P$23,'Section A Transfer Column'!$O$5:$Q$104,3,FALSE),"BAD")&lt;&gt;"OK",IFERROR(VLOOKUP($P$23,'Section A Transfer Column'!$O$5:$Q$104,3,FALSE),"BAD")&lt;&gt;"UNUSED")))),"INPUT REQUIRED",IF($A23="","",IF(OR($B23="",$B23&lt;=0,$C23="",$C23&lt;=0,$T23="",$T23&lt;=0,$Z23="",$Z23&lt;=0,OR(AND($E23&lt;&gt;"",$F23=""),AND($E23="",$F23&lt;&gt;""),AND($E23&lt;&gt;"",OR($F23&lt;0,$F23&gt;$B23))),OR(AND($H23&lt;&gt;"",$I23=""),AND($H23="",$I23&lt;&gt;""),AND($H23&lt;&gt;"",OR($I23&lt;0,$I23&gt;$B23))),OR(AND($K23&lt;&gt;"",$L23=""),AND($K23="",$L23&lt;&gt;""),AND($K23&lt;&gt;"",OR($L23&lt;0,$L23&gt;$B23))),OR(AND($N23&lt;&gt;"",$O23=""),AND($N23="",$O23&lt;&gt;""),AND($N23&lt;&gt;"",OR($O23&lt;0,$O23&gt;$B23))),OR(AND($Q23&lt;&gt;"",$R23=""),AND($Q23="",$R23&lt;&gt;""),AND($Q23&lt;&gt;"",OR($R23&lt;0,$R23&gt;$B23))),AND($E23="",$H23="",$K23="",$N23="",$Q23="",$S23=0)),"INPUT REQUIRED",IF(AI44&lt;=AJ44,"OKAY","NOT OKAY"))))))</f>
        <v/>
      </c>
      <c r="Z23" s="378">
        <f>IF(Input!$C$5="","",Input!$C$5)</f>
        <v>60</v>
      </c>
      <c r="AA23" s="233" t="str">
        <f>IF(A23="","",IF(ROW()='Section B Transfer Beam Check'!$T$13,'Section B Transfer Beam Check'!$R$40,IF('_TB Analysis'!BA23="","NOT CHECKED",IF('_TB Analysis'!BA23='_TB Analysis'!BB23,'_TB Analysis'!BC23,"INPUTS CHANGED"))))</f>
        <v/>
      </c>
    </row>
    <row r="24" spans="1:42" ht="31.95" customHeight="1">
      <c r="A24" s="25"/>
      <c r="B24" s="26"/>
      <c r="C24" s="181"/>
      <c r="D24" s="33"/>
      <c r="E24" s="229" t="str">
        <f>IF($D$24="","",IFERROR(IF(VLOOKUP($D$24,'Section A Transfer Column'!$O$5:$Q$104,3,FALSE)="OK",VLOOKUP($D$24,'Section A Transfer Column'!$O$5:$Q$104,2,FALSE),""),""))</f>
        <v/>
      </c>
      <c r="F24" s="27"/>
      <c r="G24" s="33"/>
      <c r="H24" s="229" t="str">
        <f>IF($G$24="","",IFERROR(IF(VLOOKUP($G$24,'Section A Transfer Column'!$O$5:$Q$104,3,FALSE)="OK",VLOOKUP($G$24,'Section A Transfer Column'!$O$5:$Q$104,2,FALSE),""),""))</f>
        <v/>
      </c>
      <c r="I24" s="27"/>
      <c r="J24" s="33"/>
      <c r="K24" s="229" t="str">
        <f>IF($J$24="","",IFERROR(IF(VLOOKUP($J$24,'Section A Transfer Column'!$O$5:$Q$104,3,FALSE)="OK",VLOOKUP($J$24,'Section A Transfer Column'!$O$5:$Q$104,2,FALSE),""),""))</f>
        <v/>
      </c>
      <c r="L24" s="28"/>
      <c r="M24" s="32"/>
      <c r="N24" s="230" t="str">
        <f>IF($M$24="","",IFERROR(IF(VLOOKUP($M$24,'Section A Transfer Column'!$O$5:$Q$104,3,FALSE)="OK",VLOOKUP($M$24,'Section A Transfer Column'!$O$5:$Q$104,2,FALSE),""),""))</f>
        <v/>
      </c>
      <c r="O24" s="29"/>
      <c r="P24" s="32"/>
      <c r="Q24" s="231" t="str">
        <f>IF($P$24="","",IFERROR(IF(VLOOKUP($P$24,'Section A Transfer Column'!$O$5:$Q$104,3,FALSE)="OK",VLOOKUP($P$24,'Section A Transfer Column'!$O$5:$Q$104,2,FALSE),""),""))</f>
        <v/>
      </c>
      <c r="R24" s="30"/>
      <c r="S24" s="232">
        <f t="shared" si="0"/>
        <v>0</v>
      </c>
      <c r="T24" s="224">
        <v>1</v>
      </c>
      <c r="U24" s="238" t="s">
        <v>202</v>
      </c>
      <c r="V24" s="232" t="str">
        <f t="shared" si="1"/>
        <v/>
      </c>
      <c r="W24" s="232">
        <f>IFERROR(VLOOKUP(U24,'Section A Beam Slab'!$K$6:$L$9,2,FALSE),"")</f>
        <v>23</v>
      </c>
      <c r="X24" s="202" t="str">
        <f t="shared" si="2"/>
        <v/>
      </c>
      <c r="Y24" s="202" t="str">
        <f>IF(COUNTIF(RCLoadResults73[Member],A24),IF(OR(COUNT(B24,C24,T24,Z24)&lt;&gt;4,MIN(B24,C24,T24,Z24)&lt;=0),"INPUT REQUIRED",IF(INDEX(RCLoadResults73[Status],MATCH(A24,RCLoadResults73[Member],0))&lt;&gt;"OK","INPUT REQUIRED",IF(AI45&lt;=AJ45,"OKAY","NOT OKAY"))),IF(L47="INPUT REQUIRED","INPUT REQUIRED",IF(AND(A24&lt;&gt;"",OR(AND($D$24&lt;&gt;"",AND(IFERROR(VLOOKUP($D$24,'Section A Transfer Column'!$O$5:$Q$104,3,FALSE),"BAD")&lt;&gt;"OK",IFERROR(VLOOKUP($D$24,'Section A Transfer Column'!$O$5:$Q$104,3,FALSE),"BAD")&lt;&gt;"UNUSED")),AND($G$24&lt;&gt;"",AND(IFERROR(VLOOKUP($G$24,'Section A Transfer Column'!$O$5:$Q$104,3,FALSE),"BAD")&lt;&gt;"OK",IFERROR(VLOOKUP($G$24,'Section A Transfer Column'!$O$5:$Q$104,3,FALSE),"BAD")&lt;&gt;"UNUSED")),AND($J$24&lt;&gt;"",AND(IFERROR(VLOOKUP($J$24,'Section A Transfer Column'!$O$5:$Q$104,3,FALSE),"BAD")&lt;&gt;"OK",IFERROR(VLOOKUP($J$24,'Section A Transfer Column'!$O$5:$Q$104,3,FALSE),"BAD")&lt;&gt;"UNUSED")),AND($M$24&lt;&gt;"",AND(IFERROR(VLOOKUP($M$24,'Section A Transfer Column'!$O$5:$Q$104,3,FALSE),"BAD")&lt;&gt;"OK",IFERROR(VLOOKUP($M$24,'Section A Transfer Column'!$O$5:$Q$104,3,FALSE),"BAD")&lt;&gt;"UNUSED")),AND($P$24&lt;&gt;"",AND(IFERROR(VLOOKUP($P$24,'Section A Transfer Column'!$O$5:$Q$104,3,FALSE),"BAD")&lt;&gt;"OK",IFERROR(VLOOKUP($P$24,'Section A Transfer Column'!$O$5:$Q$104,3,FALSE),"BAD")&lt;&gt;"UNUSED")))),"INPUT REQUIRED",IF($A24="","",IF(OR($B24="",$B24&lt;=0,$C24="",$C24&lt;=0,$T24="",$T24&lt;=0,$Z24="",$Z24&lt;=0,OR(AND($E24&lt;&gt;"",$F24=""),AND($E24="",$F24&lt;&gt;""),AND($E24&lt;&gt;"",OR($F24&lt;0,$F24&gt;$B24))),OR(AND($H24&lt;&gt;"",$I24=""),AND($H24="",$I24&lt;&gt;""),AND($H24&lt;&gt;"",OR($I24&lt;0,$I24&gt;$B24))),OR(AND($K24&lt;&gt;"",$L24=""),AND($K24="",$L24&lt;&gt;""),AND($K24&lt;&gt;"",OR($L24&lt;0,$L24&gt;$B24))),OR(AND($N24&lt;&gt;"",$O24=""),AND($N24="",$O24&lt;&gt;""),AND($N24&lt;&gt;"",OR($O24&lt;0,$O24&gt;$B24))),OR(AND($Q24&lt;&gt;"",$R24=""),AND($Q24="",$R24&lt;&gt;""),AND($Q24&lt;&gt;"",OR($R24&lt;0,$R24&gt;$B24))),AND($E24="",$H24="",$K24="",$N24="",$Q24="",$S24=0)),"INPUT REQUIRED",IF(AI45&lt;=AJ45,"OKAY","NOT OKAY"))))))</f>
        <v/>
      </c>
      <c r="Z24" s="378">
        <f>IF(Input!$C$5="","",Input!$C$5)</f>
        <v>60</v>
      </c>
      <c r="AA24" s="233" t="str">
        <f>IF(A24="","",IF(ROW()='Section B Transfer Beam Check'!$T$13,'Section B Transfer Beam Check'!$R$40,IF('_TB Analysis'!BA24="","NOT CHECKED",IF('_TB Analysis'!BA24='_TB Analysis'!BB24,'_TB Analysis'!BC24,"INPUTS CHANGED"))))</f>
        <v/>
      </c>
    </row>
    <row r="25" spans="1:42" ht="28.05" customHeight="1">
      <c r="A25" s="25"/>
      <c r="B25" s="26"/>
      <c r="C25" s="181"/>
      <c r="D25" s="33"/>
      <c r="E25" s="229" t="str">
        <f>IF($D$25="","",IFERROR(IF(VLOOKUP($D$25,'Section A Transfer Column'!$O$5:$Q$104,3,FALSE)="OK",VLOOKUP($D$25,'Section A Transfer Column'!$O$5:$Q$104,2,FALSE),""),""))</f>
        <v/>
      </c>
      <c r="F25" s="27"/>
      <c r="G25" s="33"/>
      <c r="H25" s="229" t="str">
        <f>IF($G$25="","",IFERROR(IF(VLOOKUP($G$25,'Section A Transfer Column'!$O$5:$Q$104,3,FALSE)="OK",VLOOKUP($G$25,'Section A Transfer Column'!$O$5:$Q$104,2,FALSE),""),""))</f>
        <v/>
      </c>
      <c r="I25" s="27"/>
      <c r="J25" s="33"/>
      <c r="K25" s="229" t="str">
        <f>IF($J$25="","",IFERROR(IF(VLOOKUP($J$25,'Section A Transfer Column'!$O$5:$Q$104,3,FALSE)="OK",VLOOKUP($J$25,'Section A Transfer Column'!$O$5:$Q$104,2,FALSE),""),""))</f>
        <v/>
      </c>
      <c r="L25" s="28"/>
      <c r="M25" s="32"/>
      <c r="N25" s="230" t="str">
        <f>IF($M$25="","",IFERROR(IF(VLOOKUP($M$25,'Section A Transfer Column'!$O$5:$Q$104,3,FALSE)="OK",VLOOKUP($M$25,'Section A Transfer Column'!$O$5:$Q$104,2,FALSE),""),""))</f>
        <v/>
      </c>
      <c r="O25" s="29"/>
      <c r="P25" s="32"/>
      <c r="Q25" s="231" t="str">
        <f>IF($P$25="","",IFERROR(IF(VLOOKUP($P$25,'Section A Transfer Column'!$O$5:$Q$104,3,FALSE)="OK",VLOOKUP($P$25,'Section A Transfer Column'!$O$5:$Q$104,2,FALSE),""),""))</f>
        <v/>
      </c>
      <c r="R25" s="30"/>
      <c r="S25" s="232">
        <f t="shared" si="0"/>
        <v>0</v>
      </c>
      <c r="T25" s="224">
        <v>1</v>
      </c>
      <c r="U25" s="238" t="s">
        <v>202</v>
      </c>
      <c r="V25" s="232" t="str">
        <f t="shared" si="1"/>
        <v/>
      </c>
      <c r="W25" s="232">
        <f>IFERROR(VLOOKUP(U25,'Section A Beam Slab'!$K$6:$L$9,2,FALSE),"")</f>
        <v>23</v>
      </c>
      <c r="X25" s="202" t="str">
        <f t="shared" si="2"/>
        <v/>
      </c>
      <c r="Y25" s="202" t="str">
        <f>IF(COUNTIF(RCLoadResults73[Member],A25),IF(OR(COUNT(B25,C25,T25,Z25)&lt;&gt;4,MIN(B25,C25,T25,Z25)&lt;=0),"INPUT REQUIRED",IF(INDEX(RCLoadResults73[Status],MATCH(A25,RCLoadResults73[Member],0))&lt;&gt;"OK","INPUT REQUIRED",IF(AI46&lt;=AJ46,"OKAY","NOT OKAY"))),IF(L48="INPUT REQUIRED","INPUT REQUIRED",IF(AND(A25&lt;&gt;"",OR(AND($D$25&lt;&gt;"",AND(IFERROR(VLOOKUP($D$25,'Section A Transfer Column'!$O$5:$Q$104,3,FALSE),"BAD")&lt;&gt;"OK",IFERROR(VLOOKUP($D$25,'Section A Transfer Column'!$O$5:$Q$104,3,FALSE),"BAD")&lt;&gt;"UNUSED")),AND($G$25&lt;&gt;"",AND(IFERROR(VLOOKUP($G$25,'Section A Transfer Column'!$O$5:$Q$104,3,FALSE),"BAD")&lt;&gt;"OK",IFERROR(VLOOKUP($G$25,'Section A Transfer Column'!$O$5:$Q$104,3,FALSE),"BAD")&lt;&gt;"UNUSED")),AND($J$25&lt;&gt;"",AND(IFERROR(VLOOKUP($J$25,'Section A Transfer Column'!$O$5:$Q$104,3,FALSE),"BAD")&lt;&gt;"OK",IFERROR(VLOOKUP($J$25,'Section A Transfer Column'!$O$5:$Q$104,3,FALSE),"BAD")&lt;&gt;"UNUSED")),AND($M$25&lt;&gt;"",AND(IFERROR(VLOOKUP($M$25,'Section A Transfer Column'!$O$5:$Q$104,3,FALSE),"BAD")&lt;&gt;"OK",IFERROR(VLOOKUP($M$25,'Section A Transfer Column'!$O$5:$Q$104,3,FALSE),"BAD")&lt;&gt;"UNUSED")),AND($P$25&lt;&gt;"",AND(IFERROR(VLOOKUP($P$25,'Section A Transfer Column'!$O$5:$Q$104,3,FALSE),"BAD")&lt;&gt;"OK",IFERROR(VLOOKUP($P$25,'Section A Transfer Column'!$O$5:$Q$104,3,FALSE),"BAD")&lt;&gt;"UNUSED")))),"INPUT REQUIRED",IF($A25="","",IF(OR($B25="",$B25&lt;=0,$C25="",$C25&lt;=0,$T25="",$T25&lt;=0,$Z25="",$Z25&lt;=0,OR(AND($E25&lt;&gt;"",$F25=""),AND($E25="",$F25&lt;&gt;""),AND($E25&lt;&gt;"",OR($F25&lt;0,$F25&gt;$B25))),OR(AND($H25&lt;&gt;"",$I25=""),AND($H25="",$I25&lt;&gt;""),AND($H25&lt;&gt;"",OR($I25&lt;0,$I25&gt;$B25))),OR(AND($K25&lt;&gt;"",$L25=""),AND($K25="",$L25&lt;&gt;""),AND($K25&lt;&gt;"",OR($L25&lt;0,$L25&gt;$B25))),OR(AND($N25&lt;&gt;"",$O25=""),AND($N25="",$O25&lt;&gt;""),AND($N25&lt;&gt;"",OR($O25&lt;0,$O25&gt;$B25))),OR(AND($Q25&lt;&gt;"",$R25=""),AND($Q25="",$R25&lt;&gt;""),AND($Q25&lt;&gt;"",OR($R25&lt;0,$R25&gt;$B25))),AND($E25="",$H25="",$K25="",$N25="",$Q25="",$S25=0)),"INPUT REQUIRED",IF(AI46&lt;=AJ46,"OKAY","NOT OKAY"))))))</f>
        <v/>
      </c>
      <c r="Z25" s="378">
        <f>IF(Input!$C$5="","",Input!$C$5)</f>
        <v>60</v>
      </c>
      <c r="AA25" s="233" t="str">
        <f>IF(A25="","",IF(ROW()='Section B Transfer Beam Check'!$T$13,'Section B Transfer Beam Check'!$R$40,IF('_TB Analysis'!BA25="","NOT CHECKED",IF('_TB Analysis'!BA25='_TB Analysis'!BB25,'_TB Analysis'!BC25,"INPUTS CHANGED"))))</f>
        <v/>
      </c>
    </row>
    <row r="26" spans="1:42" ht="28.05" customHeight="1"/>
    <row r="27" spans="1:42" ht="40.049999999999997" customHeight="1">
      <c r="A27" s="448" t="s">
        <v>331</v>
      </c>
      <c r="B27" s="448"/>
      <c r="C27" s="448"/>
      <c r="D27" s="448"/>
      <c r="E27" s="448"/>
      <c r="F27" s="448"/>
      <c r="G27" s="448"/>
      <c r="H27" s="448"/>
      <c r="I27" s="448"/>
      <c r="J27" s="448"/>
      <c r="K27" s="448"/>
      <c r="L27" s="448"/>
      <c r="U27" s="12" t="str">
        <f t="shared" ref="U27:U36" si="3">IF(OR($A6="",$B6="",$B6&lt;=0),"",$S6*($B6/1000)/2+IF(AND($E6&lt;&gt;"",$F6&lt;&gt;""),$E6*(($B6/1000)-$F6)/($B6/1000),0)+IF(AND($H6&lt;&gt;"",$I6&lt;&gt;""),$H6*(($B6/1000)-$I6)/($B6/1000),0)+IF(AND($K6&lt;&gt;"",$L6&lt;&gt;""),$K6*(($B6/1000)-$L6)/($B6/1000),0)+IF(AND($N6&lt;&gt;"",$O6&lt;&gt;""),$N6*(($B6/1000)-$O6)/($B6/1000),0)+IF(AND($Q6&lt;&gt;"",$R6&lt;&gt;""),$Q6*(($B6/1000)-$R6)/($B6/1000),0))</f>
        <v/>
      </c>
      <c r="V27" s="12"/>
      <c r="AF27" s="237" t="str">
        <f>IF(COUNTIF(RCLoadResults73[Member],A6),INDEX(RCLoadResults73[RA],MATCH(A6,RCLoadResults73[Member],0)),IF(OR($A6="",$B6="",$B6&lt;=0),"",$S6*$B6/2+IF(AND($E6&lt;&gt;"",$F6&lt;&gt;""),$E6*($B6-$F6)/$B6,0)+IF(AND($H6&lt;&gt;"",$I6&lt;&gt;""),$H6*($B6-$I6)/$B6,0)+IF(AND($K6&lt;&gt;"",$L6&lt;&gt;""),$K6*($B6-$L6)/$B6,0)+IF(AND($N6&lt;&gt;"",$O6&lt;&gt;""),$N6*($B6-$O6)/$B6,0)+IF(AND($Q6&lt;&gt;"",$R6&lt;&gt;""),$Q6*($B6-$R6)/$B6,0)))</f>
        <v/>
      </c>
      <c r="AG27" s="237" t="str">
        <f>IF(COUNTIF(RCLoadResults73[Member],A6),INDEX(RCLoadResults73[RB],MATCH(A6,RCLoadResults73[Member],0)),IF(OR($A6="",$B6="",$B6&lt;=0),"",$S6*$B6/2+IF(AND($E6&lt;&gt;"",$F6&lt;&gt;""),$E6*$F6/$B6,0)+IF(AND($H6&lt;&gt;"",$I6&lt;&gt;""),$H6*$I6/$B6,0)+IF(AND($K6&lt;&gt;"",$L6&lt;&gt;""),$K6*$L6/$B6,0)+IF(AND($N6&lt;&gt;"",$O6&lt;&gt;""),$N6*$O6/$B6,0)+IF(AND($Q6&lt;&gt;"",$R6&lt;&gt;""),$Q6*$R6/$B6,0)))</f>
        <v/>
      </c>
      <c r="AH27" s="237" t="str">
        <f t="shared" ref="AH27:AH46" si="4">IF(OR(AF27="",AG27=""),"",MAX(AF27,AG27))</f>
        <v/>
      </c>
      <c r="AI27" s="237" t="str">
        <f t="shared" ref="AI27:AI46" si="5">IF(OR(AH27="",T6="",T6&lt;=0,C6="",C6&lt;=0),"",AH27*1000/(T6*1000*0.9*C6))</f>
        <v/>
      </c>
      <c r="AJ27" s="237" t="str">
        <f t="shared" ref="AJ27:AJ46" si="6">IF(OR(A6="",Z6="",NOT(ISNUMBER(Z6)),Z6&lt;=0),"",0.8*SQRT(Z6))</f>
        <v/>
      </c>
    </row>
    <row r="28" spans="1:42" ht="40.049999999999997" customHeight="1">
      <c r="A28" s="46" t="s">
        <v>318</v>
      </c>
      <c r="B28" s="46" t="s">
        <v>101</v>
      </c>
      <c r="C28" s="46" t="s">
        <v>214</v>
      </c>
      <c r="D28" s="46" t="s">
        <v>215</v>
      </c>
      <c r="E28" s="46" t="s">
        <v>332</v>
      </c>
      <c r="F28" s="46" t="s">
        <v>491</v>
      </c>
      <c r="G28" s="46" t="s">
        <v>333</v>
      </c>
      <c r="H28" s="46" t="s">
        <v>334</v>
      </c>
      <c r="I28" s="46" t="s">
        <v>335</v>
      </c>
      <c r="J28" s="46" t="s">
        <v>336</v>
      </c>
      <c r="K28" s="46" t="s">
        <v>337</v>
      </c>
      <c r="L28" s="46" t="s">
        <v>106</v>
      </c>
      <c r="U28" s="12" t="str">
        <f t="shared" si="3"/>
        <v/>
      </c>
      <c r="V28" s="12"/>
      <c r="AF28" s="237" t="str">
        <f>IF(COUNTIF(RCLoadResults73[Member],A7),INDEX(RCLoadResults73[RA],MATCH(A7,RCLoadResults73[Member],0)),IF(OR($A7="",$B7="",$B7&lt;=0),"",$S7*$B7/2+IF(AND($E7&lt;&gt;"",$F7&lt;&gt;""),$E7*($B7-$F7)/$B7,0)+IF(AND($H7&lt;&gt;"",$I7&lt;&gt;""),$H7*($B7-$I7)/$B7,0)+IF(AND($K7&lt;&gt;"",$L7&lt;&gt;""),$K7*($B7-$L7)/$B7,0)+IF(AND($N7&lt;&gt;"",$O7&lt;&gt;""),$N7*($B7-$O7)/$B7,0)+IF(AND($Q7&lt;&gt;"",$R7&lt;&gt;""),$Q7*($B7-$R7)/$B7,0)))</f>
        <v/>
      </c>
      <c r="AG28" s="237" t="str">
        <f>IF(COUNTIF(RCLoadResults73[Member],A7),INDEX(RCLoadResults73[RB],MATCH(A7,RCLoadResults73[Member],0)),IF(OR($A7="",$B7="",$B7&lt;=0),"",$S7*$B7/2+IF(AND($E7&lt;&gt;"",$F7&lt;&gt;""),$E7*$F7/$B7,0)+IF(AND($H7&lt;&gt;"",$I7&lt;&gt;""),$H7*$I7/$B7,0)+IF(AND($K7&lt;&gt;"",$L7&lt;&gt;""),$K7*$L7/$B7,0)+IF(AND($N7&lt;&gt;"",$O7&lt;&gt;""),$N7*$O7/$B7,0)+IF(AND($Q7&lt;&gt;"",$R7&lt;&gt;""),$Q7*$R7/$B7,0)))</f>
        <v/>
      </c>
      <c r="AH28" s="237" t="str">
        <f t="shared" si="4"/>
        <v/>
      </c>
      <c r="AI28" s="237" t="str">
        <f t="shared" si="5"/>
        <v/>
      </c>
      <c r="AJ28" s="237" t="str">
        <f t="shared" si="6"/>
        <v/>
      </c>
    </row>
    <row r="29" spans="1:42" ht="28.05" customHeight="1">
      <c r="A29" s="202">
        <v>6</v>
      </c>
      <c r="B29" s="202" t="str">
        <f t="shared" ref="B29:B48" si="7">IF(A6="","",A6)</f>
        <v/>
      </c>
      <c r="C29" s="31"/>
      <c r="D29" s="31"/>
      <c r="E29" s="31"/>
      <c r="F29" s="31"/>
      <c r="G29" s="31"/>
      <c r="H29" s="216" t="str">
        <f t="shared" ref="H29:H48" si="8">IF(OR(C29="",D29=""),"",C29*D29)</f>
        <v/>
      </c>
      <c r="I29" s="216" t="str">
        <f t="shared" ref="I29:I48" si="9">IF(B6="","",B6)</f>
        <v/>
      </c>
      <c r="J29" s="216" t="str">
        <f t="shared" ref="J29:J48" si="10">IF(L29&lt;&gt;"OK","",H29*(1.4*(E29+N(F29))+1.6*G29))</f>
        <v/>
      </c>
      <c r="K29" s="216" t="str">
        <f t="shared" ref="K29:K48" si="11">IF(L29&lt;&gt;"OK","",J29/I29)</f>
        <v/>
      </c>
      <c r="L29" s="234" t="str">
        <f t="shared" ref="L29:L48" si="12">IF(AND(COUNTA(C29:E29,G29)=0,OR(F29="",F29=0)),"UNUSED",IF(OR(COUNT(C29:E29,G29)&lt;&gt;4,AND(F29&lt;&gt;"",NOT(ISNUMBER(F29))),NOT(ISNUMBER(I29)),B29=""),"INPUT REQUIRED",IF(OR(C29&lt;=0,D29&lt;=0,E29&lt;0,N(F29)&lt;0,G29&lt;0,I29&lt;=0),"INPUT REQUIRED","OK")))</f>
        <v>UNUSED</v>
      </c>
      <c r="U29" s="12" t="str">
        <f t="shared" si="3"/>
        <v/>
      </c>
      <c r="V29" s="12"/>
      <c r="AF29" s="237" t="str">
        <f>IF(COUNTIF(RCLoadResults73[Member],A8),INDEX(RCLoadResults73[RA],MATCH(A8,RCLoadResults73[Member],0)),IF(OR($A8="",$B8="",$B8&lt;=0),"",$S8*$B8/2+IF(AND($E8&lt;&gt;"",$F8&lt;&gt;""),$E8*($B8-$F8)/$B8,0)+IF(AND($H8&lt;&gt;"",$I8&lt;&gt;""),$H8*($B8-$I8)/$B8,0)+IF(AND($K8&lt;&gt;"",$L8&lt;&gt;""),$K8*($B8-$L8)/$B8,0)+IF(AND($N8&lt;&gt;"",$O8&lt;&gt;""),$N8*($B8-$O8)/$B8,0)+IF(AND($Q8&lt;&gt;"",$R8&lt;&gt;""),$Q8*($B8-$R8)/$B8,0)))</f>
        <v/>
      </c>
      <c r="AG29" s="237" t="str">
        <f>IF(COUNTIF(RCLoadResults73[Member],A8),INDEX(RCLoadResults73[RB],MATCH(A8,RCLoadResults73[Member],0)),IF(OR($A8="",$B8="",$B8&lt;=0),"",$S8*$B8/2+IF(AND($E8&lt;&gt;"",$F8&lt;&gt;""),$E8*$F8/$B8,0)+IF(AND($H8&lt;&gt;"",$I8&lt;&gt;""),$H8*$I8/$B8,0)+IF(AND($K8&lt;&gt;"",$L8&lt;&gt;""),$K8*$L8/$B8,0)+IF(AND($N8&lt;&gt;"",$O8&lt;&gt;""),$N8*$O8/$B8,0)+IF(AND($Q8&lt;&gt;"",$R8&lt;&gt;""),$Q8*$R8/$B8,0)))</f>
        <v/>
      </c>
      <c r="AH29" s="237" t="str">
        <f t="shared" si="4"/>
        <v/>
      </c>
      <c r="AI29" s="237" t="str">
        <f t="shared" si="5"/>
        <v/>
      </c>
      <c r="AJ29" s="237" t="str">
        <f t="shared" si="6"/>
        <v/>
      </c>
    </row>
    <row r="30" spans="1:42" ht="28.05" customHeight="1">
      <c r="A30" s="202">
        <v>7</v>
      </c>
      <c r="B30" s="202" t="str">
        <f t="shared" si="7"/>
        <v/>
      </c>
      <c r="C30" s="31"/>
      <c r="D30" s="31"/>
      <c r="E30" s="31"/>
      <c r="F30" s="31"/>
      <c r="G30" s="31"/>
      <c r="H30" s="216" t="str">
        <f t="shared" si="8"/>
        <v/>
      </c>
      <c r="I30" s="216" t="str">
        <f t="shared" si="9"/>
        <v/>
      </c>
      <c r="J30" s="216" t="str">
        <f t="shared" si="10"/>
        <v/>
      </c>
      <c r="K30" s="216" t="str">
        <f t="shared" si="11"/>
        <v/>
      </c>
      <c r="L30" s="234" t="str">
        <f t="shared" si="12"/>
        <v>UNUSED</v>
      </c>
      <c r="U30" s="12" t="str">
        <f t="shared" si="3"/>
        <v/>
      </c>
      <c r="V30" s="12"/>
      <c r="AF30" s="237" t="str">
        <f>IF(COUNTIF(RCLoadResults73[Member],A9),INDEX(RCLoadResults73[RA],MATCH(A9,RCLoadResults73[Member],0)),IF(OR($A9="",$B9="",$B9&lt;=0),"",$S9*$B9/2+IF(AND($E9&lt;&gt;"",$F9&lt;&gt;""),$E9*($B9-$F9)/$B9,0)+IF(AND($H9&lt;&gt;"",$I9&lt;&gt;""),$H9*($B9-$I9)/$B9,0)+IF(AND($K9&lt;&gt;"",$L9&lt;&gt;""),$K9*($B9-$L9)/$B9,0)+IF(AND($N9&lt;&gt;"",$O9&lt;&gt;""),$N9*($B9-$O9)/$B9,0)+IF(AND($Q9&lt;&gt;"",$R9&lt;&gt;""),$Q9*($B9-$R9)/$B9,0)))</f>
        <v/>
      </c>
      <c r="AG30" s="237" t="str">
        <f>IF(COUNTIF(RCLoadResults73[Member],A9),INDEX(RCLoadResults73[RB],MATCH(A9,RCLoadResults73[Member],0)),IF(OR($A9="",$B9="",$B9&lt;=0),"",$S9*$B9/2+IF(AND($E9&lt;&gt;"",$F9&lt;&gt;""),$E9*$F9/$B9,0)+IF(AND($H9&lt;&gt;"",$I9&lt;&gt;""),$H9*$I9/$B9,0)+IF(AND($K9&lt;&gt;"",$L9&lt;&gt;""),$K9*$L9/$B9,0)+IF(AND($N9&lt;&gt;"",$O9&lt;&gt;""),$N9*$O9/$B9,0)+IF(AND($Q9&lt;&gt;"",$R9&lt;&gt;""),$Q9*$R9/$B9,0)))</f>
        <v/>
      </c>
      <c r="AH30" s="237" t="str">
        <f t="shared" si="4"/>
        <v/>
      </c>
      <c r="AI30" s="237" t="str">
        <f t="shared" si="5"/>
        <v/>
      </c>
      <c r="AJ30" s="237" t="str">
        <f t="shared" si="6"/>
        <v/>
      </c>
    </row>
    <row r="31" spans="1:42" ht="28.05" customHeight="1">
      <c r="A31" s="202">
        <v>8</v>
      </c>
      <c r="B31" s="202" t="str">
        <f t="shared" si="7"/>
        <v/>
      </c>
      <c r="C31" s="31"/>
      <c r="D31" s="31"/>
      <c r="E31" s="31"/>
      <c r="F31" s="31"/>
      <c r="G31" s="31"/>
      <c r="H31" s="216" t="str">
        <f t="shared" si="8"/>
        <v/>
      </c>
      <c r="I31" s="216" t="str">
        <f t="shared" si="9"/>
        <v/>
      </c>
      <c r="J31" s="216" t="str">
        <f t="shared" si="10"/>
        <v/>
      </c>
      <c r="K31" s="216" t="str">
        <f t="shared" si="11"/>
        <v/>
      </c>
      <c r="L31" s="234" t="str">
        <f t="shared" si="12"/>
        <v>UNUSED</v>
      </c>
      <c r="U31" s="12" t="str">
        <f t="shared" si="3"/>
        <v/>
      </c>
      <c r="V31" s="12"/>
      <c r="AF31" s="237" t="str">
        <f>IF(COUNTIF(RCLoadResults73[Member],A10),INDEX(RCLoadResults73[RA],MATCH(A10,RCLoadResults73[Member],0)),IF(OR($A10="",$B10="",$B10&lt;=0),"",$S10*$B10/2+IF(AND($E10&lt;&gt;"",$F10&lt;&gt;""),$E10*($B10-$F10)/$B10,0)+IF(AND($H10&lt;&gt;"",$I10&lt;&gt;""),$H10*($B10-$I10)/$B10,0)+IF(AND($K10&lt;&gt;"",$L10&lt;&gt;""),$K10*($B10-$L10)/$B10,0)+IF(AND($N10&lt;&gt;"",$O10&lt;&gt;""),$N10*($B10-$O10)/$B10,0)+IF(AND($Q10&lt;&gt;"",$R10&lt;&gt;""),$Q10*($B10-$R10)/$B10,0)))</f>
        <v/>
      </c>
      <c r="AG31" s="237" t="str">
        <f>IF(COUNTIF(RCLoadResults73[Member],A10),INDEX(RCLoadResults73[RB],MATCH(A10,RCLoadResults73[Member],0)),IF(OR($A10="",$B10="",$B10&lt;=0),"",$S10*$B10/2+IF(AND($E10&lt;&gt;"",$F10&lt;&gt;""),$E10*$F10/$B10,0)+IF(AND($H10&lt;&gt;"",$I10&lt;&gt;""),$H10*$I10/$B10,0)+IF(AND($K10&lt;&gt;"",$L10&lt;&gt;""),$K10*$L10/$B10,0)+IF(AND($N10&lt;&gt;"",$O10&lt;&gt;""),$N10*$O10/$B10,0)+IF(AND($Q10&lt;&gt;"",$R10&lt;&gt;""),$Q10*$R10/$B10,0)))</f>
        <v/>
      </c>
      <c r="AH31" s="237" t="str">
        <f t="shared" si="4"/>
        <v/>
      </c>
      <c r="AI31" s="237" t="str">
        <f t="shared" si="5"/>
        <v/>
      </c>
      <c r="AJ31" s="237" t="str">
        <f t="shared" si="6"/>
        <v/>
      </c>
    </row>
    <row r="32" spans="1:42" ht="28.05" customHeight="1">
      <c r="A32" s="202">
        <v>9</v>
      </c>
      <c r="B32" s="202" t="str">
        <f t="shared" si="7"/>
        <v/>
      </c>
      <c r="C32" s="31"/>
      <c r="D32" s="31"/>
      <c r="E32" s="31"/>
      <c r="F32" s="31"/>
      <c r="G32" s="31"/>
      <c r="H32" s="216" t="str">
        <f t="shared" si="8"/>
        <v/>
      </c>
      <c r="I32" s="216" t="str">
        <f t="shared" si="9"/>
        <v/>
      </c>
      <c r="J32" s="216" t="str">
        <f t="shared" si="10"/>
        <v/>
      </c>
      <c r="K32" s="216" t="str">
        <f t="shared" si="11"/>
        <v/>
      </c>
      <c r="L32" s="234" t="str">
        <f t="shared" si="12"/>
        <v>UNUSED</v>
      </c>
      <c r="U32" s="12" t="str">
        <f t="shared" si="3"/>
        <v/>
      </c>
      <c r="V32" s="12"/>
      <c r="AF32" s="237" t="str">
        <f>IF(COUNTIF(RCLoadResults73[Member],A11),INDEX(RCLoadResults73[RA],MATCH(A11,RCLoadResults73[Member],0)),IF(OR($A11="",$B11="",$B11&lt;=0),"",$S11*$B11/2+IF(AND($E11&lt;&gt;"",$F11&lt;&gt;""),$E11*($B11-$F11)/$B11,0)+IF(AND($H11&lt;&gt;"",$I11&lt;&gt;""),$H11*($B11-$I11)/$B11,0)+IF(AND($K11&lt;&gt;"",$L11&lt;&gt;""),$K11*($B11-$L11)/$B11,0)+IF(AND($N11&lt;&gt;"",$O11&lt;&gt;""),$N11*($B11-$O11)/$B11,0)+IF(AND($Q11&lt;&gt;"",$R11&lt;&gt;""),$Q11*($B11-$R11)/$B11,0)))</f>
        <v/>
      </c>
      <c r="AG32" s="237" t="str">
        <f>IF(COUNTIF(RCLoadResults73[Member],A11),INDEX(RCLoadResults73[RB],MATCH(A11,RCLoadResults73[Member],0)),IF(OR($A11="",$B11="",$B11&lt;=0),"",$S11*$B11/2+IF(AND($E11&lt;&gt;"",$F11&lt;&gt;""),$E11*$F11/$B11,0)+IF(AND($H11&lt;&gt;"",$I11&lt;&gt;""),$H11*$I11/$B11,0)+IF(AND($K11&lt;&gt;"",$L11&lt;&gt;""),$K11*$L11/$B11,0)+IF(AND($N11&lt;&gt;"",$O11&lt;&gt;""),$N11*$O11/$B11,0)+IF(AND($Q11&lt;&gt;"",$R11&lt;&gt;""),$Q11*$R11/$B11,0)))</f>
        <v/>
      </c>
      <c r="AH32" s="237" t="str">
        <f t="shared" si="4"/>
        <v/>
      </c>
      <c r="AI32" s="237" t="str">
        <f t="shared" si="5"/>
        <v/>
      </c>
      <c r="AJ32" s="237" t="str">
        <f t="shared" si="6"/>
        <v/>
      </c>
    </row>
    <row r="33" spans="1:36" ht="28.05" customHeight="1">
      <c r="A33" s="202">
        <v>10</v>
      </c>
      <c r="B33" s="202" t="str">
        <f t="shared" si="7"/>
        <v/>
      </c>
      <c r="C33" s="31"/>
      <c r="D33" s="31"/>
      <c r="E33" s="31"/>
      <c r="F33" s="31"/>
      <c r="G33" s="31"/>
      <c r="H33" s="216" t="str">
        <f t="shared" si="8"/>
        <v/>
      </c>
      <c r="I33" s="216" t="str">
        <f t="shared" si="9"/>
        <v/>
      </c>
      <c r="J33" s="216" t="str">
        <f t="shared" si="10"/>
        <v/>
      </c>
      <c r="K33" s="216" t="str">
        <f t="shared" si="11"/>
        <v/>
      </c>
      <c r="L33" s="234" t="str">
        <f t="shared" si="12"/>
        <v>UNUSED</v>
      </c>
      <c r="U33" s="12" t="str">
        <f t="shared" si="3"/>
        <v/>
      </c>
      <c r="V33" s="12"/>
      <c r="AF33" s="237" t="str">
        <f>IF(COUNTIF(RCLoadResults73[Member],A12),INDEX(RCLoadResults73[RA],MATCH(A12,RCLoadResults73[Member],0)),IF(OR($A12="",$B12="",$B12&lt;=0),"",$S12*$B12/2+IF(AND($E12&lt;&gt;"",$F12&lt;&gt;""),$E12*($B12-$F12)/$B12,0)+IF(AND($H12&lt;&gt;"",$I12&lt;&gt;""),$H12*($B12-$I12)/$B12,0)+IF(AND($K12&lt;&gt;"",$L12&lt;&gt;""),$K12*($B12-$L12)/$B12,0)+IF(AND($N12&lt;&gt;"",$O12&lt;&gt;""),$N12*($B12-$O12)/$B12,0)+IF(AND($Q12&lt;&gt;"",$R12&lt;&gt;""),$Q12*($B12-$R12)/$B12,0)))</f>
        <v/>
      </c>
      <c r="AG33" s="237" t="str">
        <f>IF(COUNTIF(RCLoadResults73[Member],A12),INDEX(RCLoadResults73[RB],MATCH(A12,RCLoadResults73[Member],0)),IF(OR($A12="",$B12="",$B12&lt;=0),"",$S12*$B12/2+IF(AND($E12&lt;&gt;"",$F12&lt;&gt;""),$E12*$F12/$B12,0)+IF(AND($H12&lt;&gt;"",$I12&lt;&gt;""),$H12*$I12/$B12,0)+IF(AND($K12&lt;&gt;"",$L12&lt;&gt;""),$K12*$L12/$B12,0)+IF(AND($N12&lt;&gt;"",$O12&lt;&gt;""),$N12*$O12/$B12,0)+IF(AND($Q12&lt;&gt;"",$R12&lt;&gt;""),$Q12*$R12/$B12,0)))</f>
        <v/>
      </c>
      <c r="AH33" s="237" t="str">
        <f t="shared" si="4"/>
        <v/>
      </c>
      <c r="AI33" s="237" t="str">
        <f t="shared" si="5"/>
        <v/>
      </c>
      <c r="AJ33" s="237" t="str">
        <f t="shared" si="6"/>
        <v/>
      </c>
    </row>
    <row r="34" spans="1:36" ht="28.05" customHeight="1">
      <c r="A34" s="202">
        <v>11</v>
      </c>
      <c r="B34" s="202" t="str">
        <f t="shared" si="7"/>
        <v/>
      </c>
      <c r="C34" s="31"/>
      <c r="D34" s="31"/>
      <c r="E34" s="31"/>
      <c r="F34" s="31"/>
      <c r="G34" s="31"/>
      <c r="H34" s="216" t="str">
        <f t="shared" si="8"/>
        <v/>
      </c>
      <c r="I34" s="216" t="str">
        <f t="shared" si="9"/>
        <v/>
      </c>
      <c r="J34" s="216" t="str">
        <f t="shared" si="10"/>
        <v/>
      </c>
      <c r="K34" s="216" t="str">
        <f t="shared" si="11"/>
        <v/>
      </c>
      <c r="L34" s="234" t="str">
        <f t="shared" si="12"/>
        <v>UNUSED</v>
      </c>
      <c r="U34" s="12" t="str">
        <f t="shared" si="3"/>
        <v/>
      </c>
      <c r="V34" s="12"/>
      <c r="AF34" s="237" t="str">
        <f>IF(COUNTIF(RCLoadResults73[Member],A13),INDEX(RCLoadResults73[RA],MATCH(A13,RCLoadResults73[Member],0)),IF(OR($A13="",$B13="",$B13&lt;=0),"",$S13*$B13/2+IF(AND($E13&lt;&gt;"",$F13&lt;&gt;""),$E13*($B13-$F13)/$B13,0)+IF(AND($H13&lt;&gt;"",$I13&lt;&gt;""),$H13*($B13-$I13)/$B13,0)+IF(AND($K13&lt;&gt;"",$L13&lt;&gt;""),$K13*($B13-$L13)/$B13,0)+IF(AND($N13&lt;&gt;"",$O13&lt;&gt;""),$N13*($B13-$O13)/$B13,0)+IF(AND($Q13&lt;&gt;"",$R13&lt;&gt;""),$Q13*($B13-$R13)/$B13,0)))</f>
        <v/>
      </c>
      <c r="AG34" s="237" t="str">
        <f>IF(COUNTIF(RCLoadResults73[Member],A13),INDEX(RCLoadResults73[RB],MATCH(A13,RCLoadResults73[Member],0)),IF(OR($A13="",$B13="",$B13&lt;=0),"",$S13*$B13/2+IF(AND($E13&lt;&gt;"",$F13&lt;&gt;""),$E13*$F13/$B13,0)+IF(AND($H13&lt;&gt;"",$I13&lt;&gt;""),$H13*$I13/$B13,0)+IF(AND($K13&lt;&gt;"",$L13&lt;&gt;""),$K13*$L13/$B13,0)+IF(AND($N13&lt;&gt;"",$O13&lt;&gt;""),$N13*$O13/$B13,0)+IF(AND($Q13&lt;&gt;"",$R13&lt;&gt;""),$Q13*$R13/$B13,0)))</f>
        <v/>
      </c>
      <c r="AH34" s="237" t="str">
        <f t="shared" si="4"/>
        <v/>
      </c>
      <c r="AI34" s="237" t="str">
        <f t="shared" si="5"/>
        <v/>
      </c>
      <c r="AJ34" s="237" t="str">
        <f t="shared" si="6"/>
        <v/>
      </c>
    </row>
    <row r="35" spans="1:36" ht="28.05" customHeight="1">
      <c r="A35" s="202">
        <v>12</v>
      </c>
      <c r="B35" s="202" t="str">
        <f t="shared" si="7"/>
        <v/>
      </c>
      <c r="C35" s="31"/>
      <c r="D35" s="31"/>
      <c r="E35" s="31"/>
      <c r="F35" s="31"/>
      <c r="G35" s="31"/>
      <c r="H35" s="216" t="str">
        <f t="shared" si="8"/>
        <v/>
      </c>
      <c r="I35" s="216" t="str">
        <f t="shared" si="9"/>
        <v/>
      </c>
      <c r="J35" s="216" t="str">
        <f t="shared" si="10"/>
        <v/>
      </c>
      <c r="K35" s="216" t="str">
        <f t="shared" si="11"/>
        <v/>
      </c>
      <c r="L35" s="234" t="str">
        <f t="shared" si="12"/>
        <v>UNUSED</v>
      </c>
      <c r="U35" s="12" t="str">
        <f t="shared" si="3"/>
        <v/>
      </c>
      <c r="V35" s="12"/>
      <c r="AF35" s="237" t="str">
        <f>IF(COUNTIF(RCLoadResults73[Member],A14),INDEX(RCLoadResults73[RA],MATCH(A14,RCLoadResults73[Member],0)),IF(OR($A14="",$B14="",$B14&lt;=0),"",$S14*$B14/2+IF(AND($E14&lt;&gt;"",$F14&lt;&gt;""),$E14*($B14-$F14)/$B14,0)+IF(AND($H14&lt;&gt;"",$I14&lt;&gt;""),$H14*($B14-$I14)/$B14,0)+IF(AND($K14&lt;&gt;"",$L14&lt;&gt;""),$K14*($B14-$L14)/$B14,0)+IF(AND($N14&lt;&gt;"",$O14&lt;&gt;""),$N14*($B14-$O14)/$B14,0)+IF(AND($Q14&lt;&gt;"",$R14&lt;&gt;""),$Q14*($B14-$R14)/$B14,0)))</f>
        <v/>
      </c>
      <c r="AG35" s="237" t="str">
        <f>IF(COUNTIF(RCLoadResults73[Member],A14),INDEX(RCLoadResults73[RB],MATCH(A14,RCLoadResults73[Member],0)),IF(OR($A14="",$B14="",$B14&lt;=0),"",$S14*$B14/2+IF(AND($E14&lt;&gt;"",$F14&lt;&gt;""),$E14*$F14/$B14,0)+IF(AND($H14&lt;&gt;"",$I14&lt;&gt;""),$H14*$I14/$B14,0)+IF(AND($K14&lt;&gt;"",$L14&lt;&gt;""),$K14*$L14/$B14,0)+IF(AND($N14&lt;&gt;"",$O14&lt;&gt;""),$N14*$O14/$B14,0)+IF(AND($Q14&lt;&gt;"",$R14&lt;&gt;""),$Q14*$R14/$B14,0)))</f>
        <v/>
      </c>
      <c r="AH35" s="237" t="str">
        <f t="shared" si="4"/>
        <v/>
      </c>
      <c r="AI35" s="237" t="str">
        <f t="shared" si="5"/>
        <v/>
      </c>
      <c r="AJ35" s="237" t="str">
        <f t="shared" si="6"/>
        <v/>
      </c>
    </row>
    <row r="36" spans="1:36" ht="28.05" customHeight="1">
      <c r="A36" s="202">
        <v>13</v>
      </c>
      <c r="B36" s="202" t="str">
        <f t="shared" si="7"/>
        <v/>
      </c>
      <c r="C36" s="31"/>
      <c r="D36" s="31"/>
      <c r="E36" s="31"/>
      <c r="F36" s="31"/>
      <c r="G36" s="31"/>
      <c r="H36" s="216" t="str">
        <f t="shared" si="8"/>
        <v/>
      </c>
      <c r="I36" s="216" t="str">
        <f t="shared" si="9"/>
        <v/>
      </c>
      <c r="J36" s="216" t="str">
        <f t="shared" si="10"/>
        <v/>
      </c>
      <c r="K36" s="216" t="str">
        <f t="shared" si="11"/>
        <v/>
      </c>
      <c r="L36" s="234" t="str">
        <f t="shared" si="12"/>
        <v>UNUSED</v>
      </c>
      <c r="U36" s="12" t="str">
        <f t="shared" si="3"/>
        <v/>
      </c>
      <c r="V36" s="12"/>
      <c r="AF36" s="237" t="str">
        <f>IF(COUNTIF(RCLoadResults73[Member],A15),INDEX(RCLoadResults73[RA],MATCH(A15,RCLoadResults73[Member],0)),IF(OR($A15="",$B15="",$B15&lt;=0),"",$S15*$B15/2+IF(AND($E15&lt;&gt;"",$F15&lt;&gt;""),$E15*($B15-$F15)/$B15,0)+IF(AND($H15&lt;&gt;"",$I15&lt;&gt;""),$H15*($B15-$I15)/$B15,0)+IF(AND($K15&lt;&gt;"",$L15&lt;&gt;""),$K15*($B15-$L15)/$B15,0)+IF(AND($N15&lt;&gt;"",$O15&lt;&gt;""),$N15*($B15-$O15)/$B15,0)+IF(AND($Q15&lt;&gt;"",$R15&lt;&gt;""),$Q15*($B15-$R15)/$B15,0)))</f>
        <v/>
      </c>
      <c r="AG36" s="237" t="str">
        <f>IF(COUNTIF(RCLoadResults73[Member],A15),INDEX(RCLoadResults73[RB],MATCH(A15,RCLoadResults73[Member],0)),IF(OR($A15="",$B15="",$B15&lt;=0),"",$S15*$B15/2+IF(AND($E15&lt;&gt;"",$F15&lt;&gt;""),$E15*$F15/$B15,0)+IF(AND($H15&lt;&gt;"",$I15&lt;&gt;""),$H15*$I15/$B15,0)+IF(AND($K15&lt;&gt;"",$L15&lt;&gt;""),$K15*$L15/$B15,0)+IF(AND($N15&lt;&gt;"",$O15&lt;&gt;""),$N15*$O15/$B15,0)+IF(AND($Q15&lt;&gt;"",$R15&lt;&gt;""),$Q15*$R15/$B15,0)))</f>
        <v/>
      </c>
      <c r="AH36" s="237" t="str">
        <f t="shared" si="4"/>
        <v/>
      </c>
      <c r="AI36" s="237" t="str">
        <f t="shared" si="5"/>
        <v/>
      </c>
      <c r="AJ36" s="237" t="str">
        <f t="shared" si="6"/>
        <v/>
      </c>
    </row>
    <row r="37" spans="1:36" ht="28.05" customHeight="1">
      <c r="A37" s="202">
        <v>14</v>
      </c>
      <c r="B37" s="202" t="str">
        <f t="shared" si="7"/>
        <v/>
      </c>
      <c r="C37" s="31"/>
      <c r="D37" s="31"/>
      <c r="E37" s="31"/>
      <c r="F37" s="31"/>
      <c r="G37" s="31"/>
      <c r="H37" s="216" t="str">
        <f t="shared" si="8"/>
        <v/>
      </c>
      <c r="I37" s="216" t="str">
        <f t="shared" si="9"/>
        <v/>
      </c>
      <c r="J37" s="216" t="str">
        <f t="shared" si="10"/>
        <v/>
      </c>
      <c r="K37" s="216" t="str">
        <f t="shared" si="11"/>
        <v/>
      </c>
      <c r="L37" s="234" t="str">
        <f t="shared" si="12"/>
        <v>UNUSED</v>
      </c>
      <c r="U37" s="12"/>
      <c r="V37" s="12"/>
      <c r="AF37" s="237" t="str">
        <f>IF(COUNTIF(RCLoadResults73[Member],A16),INDEX(RCLoadResults73[RA],MATCH(A16,RCLoadResults73[Member],0)),IF(OR($A16="",$B16="",$B16&lt;=0),"",$S16*$B16/2+IF(AND($E16&lt;&gt;"",$F16&lt;&gt;""),$E16*($B16-$F16)/$B16,0)+IF(AND($H16&lt;&gt;"",$I16&lt;&gt;""),$H16*($B16-$I16)/$B16,0)+IF(AND($K16&lt;&gt;"",$L16&lt;&gt;""),$K16*($B16-$L16)/$B16,0)+IF(AND($N16&lt;&gt;"",$O16&lt;&gt;""),$N16*($B16-$O16)/$B16,0)+IF(AND($Q16&lt;&gt;"",$R16&lt;&gt;""),$Q16*($B16-$R16)/$B16,0)))</f>
        <v/>
      </c>
      <c r="AG37" s="237" t="str">
        <f>IF(COUNTIF(RCLoadResults73[Member],A16),INDEX(RCLoadResults73[RB],MATCH(A16,RCLoadResults73[Member],0)),IF(OR($A16="",$B16="",$B16&lt;=0),"",$S16*$B16/2+IF(AND($E16&lt;&gt;"",$F16&lt;&gt;""),$E16*$F16/$B16,0)+IF(AND($H16&lt;&gt;"",$I16&lt;&gt;""),$H16*$I16/$B16,0)+IF(AND($K16&lt;&gt;"",$L16&lt;&gt;""),$K16*$L16/$B16,0)+IF(AND($N16&lt;&gt;"",$O16&lt;&gt;""),$N16*$O16/$B16,0)+IF(AND($Q16&lt;&gt;"",$R16&lt;&gt;""),$Q16*$R16/$B16,0)))</f>
        <v/>
      </c>
      <c r="AH37" s="237" t="str">
        <f t="shared" si="4"/>
        <v/>
      </c>
      <c r="AI37" s="237" t="str">
        <f t="shared" si="5"/>
        <v/>
      </c>
      <c r="AJ37" s="237" t="str">
        <f t="shared" si="6"/>
        <v/>
      </c>
    </row>
    <row r="38" spans="1:36" ht="28.05" customHeight="1">
      <c r="A38" s="202">
        <v>15</v>
      </c>
      <c r="B38" s="202" t="str">
        <f t="shared" si="7"/>
        <v/>
      </c>
      <c r="C38" s="31"/>
      <c r="D38" s="31"/>
      <c r="E38" s="31"/>
      <c r="F38" s="31"/>
      <c r="G38" s="31"/>
      <c r="H38" s="216" t="str">
        <f t="shared" si="8"/>
        <v/>
      </c>
      <c r="I38" s="216" t="str">
        <f t="shared" si="9"/>
        <v/>
      </c>
      <c r="J38" s="216" t="str">
        <f t="shared" si="10"/>
        <v/>
      </c>
      <c r="K38" s="216" t="str">
        <f t="shared" si="11"/>
        <v/>
      </c>
      <c r="L38" s="234" t="str">
        <f t="shared" si="12"/>
        <v>UNUSED</v>
      </c>
      <c r="U38" s="12"/>
      <c r="V38" s="12"/>
      <c r="AF38" s="237" t="str">
        <f>IF(COUNTIF(RCLoadResults73[Member],A17),INDEX(RCLoadResults73[RA],MATCH(A17,RCLoadResults73[Member],0)),IF(OR($A17="",$B17="",$B17&lt;=0),"",$S17*$B17/2+IF(AND($E17&lt;&gt;"",$F17&lt;&gt;""),$E17*($B17-$F17)/$B17,0)+IF(AND($H17&lt;&gt;"",$I17&lt;&gt;""),$H17*($B17-$I17)/$B17,0)+IF(AND($K17&lt;&gt;"",$L17&lt;&gt;""),$K17*($B17-$L17)/$B17,0)+IF(AND($N17&lt;&gt;"",$O17&lt;&gt;""),$N17*($B17-$O17)/$B17,0)+IF(AND($Q17&lt;&gt;"",$R17&lt;&gt;""),$Q17*($B17-$R17)/$B17,0)))</f>
        <v/>
      </c>
      <c r="AG38" s="237" t="str">
        <f>IF(COUNTIF(RCLoadResults73[Member],A17),INDEX(RCLoadResults73[RB],MATCH(A17,RCLoadResults73[Member],0)),IF(OR($A17="",$B17="",$B17&lt;=0),"",$S17*$B17/2+IF(AND($E17&lt;&gt;"",$F17&lt;&gt;""),$E17*$F17/$B17,0)+IF(AND($H17&lt;&gt;"",$I17&lt;&gt;""),$H17*$I17/$B17,0)+IF(AND($K17&lt;&gt;"",$L17&lt;&gt;""),$K17*$L17/$B17,0)+IF(AND($N17&lt;&gt;"",$O17&lt;&gt;""),$N17*$O17/$B17,0)+IF(AND($Q17&lt;&gt;"",$R17&lt;&gt;""),$Q17*$R17/$B17,0)))</f>
        <v/>
      </c>
      <c r="AH38" s="237" t="str">
        <f t="shared" si="4"/>
        <v/>
      </c>
      <c r="AI38" s="237" t="str">
        <f t="shared" si="5"/>
        <v/>
      </c>
      <c r="AJ38" s="237" t="str">
        <f t="shared" si="6"/>
        <v/>
      </c>
    </row>
    <row r="39" spans="1:36" ht="28.05" customHeight="1">
      <c r="A39" s="202">
        <v>16</v>
      </c>
      <c r="B39" s="202" t="str">
        <f t="shared" si="7"/>
        <v/>
      </c>
      <c r="C39" s="31"/>
      <c r="D39" s="31"/>
      <c r="E39" s="31"/>
      <c r="F39" s="31"/>
      <c r="G39" s="31"/>
      <c r="H39" s="216" t="str">
        <f t="shared" si="8"/>
        <v/>
      </c>
      <c r="I39" s="216" t="str">
        <f t="shared" si="9"/>
        <v/>
      </c>
      <c r="J39" s="216" t="str">
        <f t="shared" si="10"/>
        <v/>
      </c>
      <c r="K39" s="216" t="str">
        <f t="shared" si="11"/>
        <v/>
      </c>
      <c r="L39" s="234" t="str">
        <f t="shared" si="12"/>
        <v>UNUSED</v>
      </c>
      <c r="U39" s="12"/>
      <c r="V39" s="12"/>
      <c r="AF39" s="237" t="str">
        <f>IF(COUNTIF(RCLoadResults73[Member],A18),INDEX(RCLoadResults73[RA],MATCH(A18,RCLoadResults73[Member],0)),IF(OR($A18="",$B18="",$B18&lt;=0),"",$S18*$B18/2+IF(AND($E18&lt;&gt;"",$F18&lt;&gt;""),$E18*($B18-$F18)/$B18,0)+IF(AND($H18&lt;&gt;"",$I18&lt;&gt;""),$H18*($B18-$I18)/$B18,0)+IF(AND($K18&lt;&gt;"",$L18&lt;&gt;""),$K18*($B18-$L18)/$B18,0)+IF(AND($N18&lt;&gt;"",$O18&lt;&gt;""),$N18*($B18-$O18)/$B18,0)+IF(AND($Q18&lt;&gt;"",$R18&lt;&gt;""),$Q18*($B18-$R18)/$B18,0)))</f>
        <v/>
      </c>
      <c r="AG39" s="237" t="str">
        <f>IF(COUNTIF(RCLoadResults73[Member],A18),INDEX(RCLoadResults73[RB],MATCH(A18,RCLoadResults73[Member],0)),IF(OR($A18="",$B18="",$B18&lt;=0),"",$S18*$B18/2+IF(AND($E18&lt;&gt;"",$F18&lt;&gt;""),$E18*$F18/$B18,0)+IF(AND($H18&lt;&gt;"",$I18&lt;&gt;""),$H18*$I18/$B18,0)+IF(AND($K18&lt;&gt;"",$L18&lt;&gt;""),$K18*$L18/$B18,0)+IF(AND($N18&lt;&gt;"",$O18&lt;&gt;""),$N18*$O18/$B18,0)+IF(AND($Q18&lt;&gt;"",$R18&lt;&gt;""),$Q18*$R18/$B18,0)))</f>
        <v/>
      </c>
      <c r="AH39" s="237" t="str">
        <f t="shared" si="4"/>
        <v/>
      </c>
      <c r="AI39" s="237" t="str">
        <f t="shared" si="5"/>
        <v/>
      </c>
      <c r="AJ39" s="237" t="str">
        <f t="shared" si="6"/>
        <v/>
      </c>
    </row>
    <row r="40" spans="1:36" ht="28.05" customHeight="1">
      <c r="A40" s="202">
        <v>17</v>
      </c>
      <c r="B40" s="202" t="str">
        <f t="shared" si="7"/>
        <v/>
      </c>
      <c r="C40" s="31"/>
      <c r="D40" s="31"/>
      <c r="E40" s="31"/>
      <c r="F40" s="31"/>
      <c r="G40" s="31"/>
      <c r="H40" s="216" t="str">
        <f t="shared" si="8"/>
        <v/>
      </c>
      <c r="I40" s="216" t="str">
        <f t="shared" si="9"/>
        <v/>
      </c>
      <c r="J40" s="216" t="str">
        <f t="shared" si="10"/>
        <v/>
      </c>
      <c r="K40" s="216" t="str">
        <f t="shared" si="11"/>
        <v/>
      </c>
      <c r="L40" s="234" t="str">
        <f t="shared" si="12"/>
        <v>UNUSED</v>
      </c>
      <c r="U40" s="12"/>
      <c r="V40" s="12"/>
      <c r="AF40" s="237" t="str">
        <f>IF(COUNTIF(RCLoadResults73[Member],A19),INDEX(RCLoadResults73[RA],MATCH(A19,RCLoadResults73[Member],0)),IF(OR($A19="",$B19="",$B19&lt;=0),"",$S19*$B19/2+IF(AND($E19&lt;&gt;"",$F19&lt;&gt;""),$E19*($B19-$F19)/$B19,0)+IF(AND($H19&lt;&gt;"",$I19&lt;&gt;""),$H19*($B19-$I19)/$B19,0)+IF(AND($K19&lt;&gt;"",$L19&lt;&gt;""),$K19*($B19-$L19)/$B19,0)+IF(AND($N19&lt;&gt;"",$O19&lt;&gt;""),$N19*($B19-$O19)/$B19,0)+IF(AND($Q19&lt;&gt;"",$R19&lt;&gt;""),$Q19*($B19-$R19)/$B19,0)))</f>
        <v/>
      </c>
      <c r="AG40" s="237" t="str">
        <f>IF(COUNTIF(RCLoadResults73[Member],A19),INDEX(RCLoadResults73[RB],MATCH(A19,RCLoadResults73[Member],0)),IF(OR($A19="",$B19="",$B19&lt;=0),"",$S19*$B19/2+IF(AND($E19&lt;&gt;"",$F19&lt;&gt;""),$E19*$F19/$B19,0)+IF(AND($H19&lt;&gt;"",$I19&lt;&gt;""),$H19*$I19/$B19,0)+IF(AND($K19&lt;&gt;"",$L19&lt;&gt;""),$K19*$L19/$B19,0)+IF(AND($N19&lt;&gt;"",$O19&lt;&gt;""),$N19*$O19/$B19,0)+IF(AND($Q19&lt;&gt;"",$R19&lt;&gt;""),$Q19*$R19/$B19,0)))</f>
        <v/>
      </c>
      <c r="AH40" s="237" t="str">
        <f t="shared" si="4"/>
        <v/>
      </c>
      <c r="AI40" s="237" t="str">
        <f t="shared" si="5"/>
        <v/>
      </c>
      <c r="AJ40" s="237" t="str">
        <f t="shared" si="6"/>
        <v/>
      </c>
    </row>
    <row r="41" spans="1:36" ht="28.05" customHeight="1">
      <c r="A41" s="202">
        <v>18</v>
      </c>
      <c r="B41" s="202" t="str">
        <f t="shared" si="7"/>
        <v/>
      </c>
      <c r="C41" s="31"/>
      <c r="D41" s="31"/>
      <c r="E41" s="31"/>
      <c r="F41" s="31"/>
      <c r="G41" s="31"/>
      <c r="H41" s="216" t="str">
        <f t="shared" si="8"/>
        <v/>
      </c>
      <c r="I41" s="216" t="str">
        <f t="shared" si="9"/>
        <v/>
      </c>
      <c r="J41" s="216" t="str">
        <f t="shared" si="10"/>
        <v/>
      </c>
      <c r="K41" s="216" t="str">
        <f t="shared" si="11"/>
        <v/>
      </c>
      <c r="L41" s="234" t="str">
        <f t="shared" si="12"/>
        <v>UNUSED</v>
      </c>
      <c r="U41" s="12"/>
      <c r="V41" s="12"/>
      <c r="AF41" s="237" t="str">
        <f>IF(COUNTIF(RCLoadResults73[Member],A20),INDEX(RCLoadResults73[RA],MATCH(A20,RCLoadResults73[Member],0)),IF(OR($A20="",$B20="",$B20&lt;=0),"",$S20*$B20/2+IF(AND($E20&lt;&gt;"",$F20&lt;&gt;""),$E20*($B20-$F20)/$B20,0)+IF(AND($H20&lt;&gt;"",$I20&lt;&gt;""),$H20*($B20-$I20)/$B20,0)+IF(AND($K20&lt;&gt;"",$L20&lt;&gt;""),$K20*($B20-$L20)/$B20,0)+IF(AND($N20&lt;&gt;"",$O20&lt;&gt;""),$N20*($B20-$O20)/$B20,0)+IF(AND($Q20&lt;&gt;"",$R20&lt;&gt;""),$Q20*($B20-$R20)/$B20,0)))</f>
        <v/>
      </c>
      <c r="AG41" s="237" t="str">
        <f>IF(COUNTIF(RCLoadResults73[Member],A20),INDEX(RCLoadResults73[RB],MATCH(A20,RCLoadResults73[Member],0)),IF(OR($A20="",$B20="",$B20&lt;=0),"",$S20*$B20/2+IF(AND($E20&lt;&gt;"",$F20&lt;&gt;""),$E20*$F20/$B20,0)+IF(AND($H20&lt;&gt;"",$I20&lt;&gt;""),$H20*$I20/$B20,0)+IF(AND($K20&lt;&gt;"",$L20&lt;&gt;""),$K20*$L20/$B20,0)+IF(AND($N20&lt;&gt;"",$O20&lt;&gt;""),$N20*$O20/$B20,0)+IF(AND($Q20&lt;&gt;"",$R20&lt;&gt;""),$Q20*$R20/$B20,0)))</f>
        <v/>
      </c>
      <c r="AH41" s="237" t="str">
        <f t="shared" si="4"/>
        <v/>
      </c>
      <c r="AI41" s="237" t="str">
        <f t="shared" si="5"/>
        <v/>
      </c>
      <c r="AJ41" s="237" t="str">
        <f t="shared" si="6"/>
        <v/>
      </c>
    </row>
    <row r="42" spans="1:36" ht="28.05" customHeight="1">
      <c r="A42" s="202">
        <v>19</v>
      </c>
      <c r="B42" s="202" t="str">
        <f t="shared" si="7"/>
        <v/>
      </c>
      <c r="C42" s="31"/>
      <c r="D42" s="31"/>
      <c r="E42" s="31"/>
      <c r="F42" s="31"/>
      <c r="G42" s="31"/>
      <c r="H42" s="216" t="str">
        <f t="shared" si="8"/>
        <v/>
      </c>
      <c r="I42" s="216" t="str">
        <f t="shared" si="9"/>
        <v/>
      </c>
      <c r="J42" s="216" t="str">
        <f t="shared" si="10"/>
        <v/>
      </c>
      <c r="K42" s="216" t="str">
        <f t="shared" si="11"/>
        <v/>
      </c>
      <c r="L42" s="234" t="str">
        <f t="shared" si="12"/>
        <v>UNUSED</v>
      </c>
      <c r="U42" s="12"/>
      <c r="V42" s="12"/>
      <c r="AF42" s="237" t="str">
        <f>IF(COUNTIF(RCLoadResults73[Member],A21),INDEX(RCLoadResults73[RA],MATCH(A21,RCLoadResults73[Member],0)),IF(OR($A21="",$B21="",$B21&lt;=0),"",$S21*$B21/2+IF(AND($E21&lt;&gt;"",$F21&lt;&gt;""),$E21*($B21-$F21)/$B21,0)+IF(AND($H21&lt;&gt;"",$I21&lt;&gt;""),$H21*($B21-$I21)/$B21,0)+IF(AND($K21&lt;&gt;"",$L21&lt;&gt;""),$K21*($B21-$L21)/$B21,0)+IF(AND($N21&lt;&gt;"",$O21&lt;&gt;""),$N21*($B21-$O21)/$B21,0)+IF(AND($Q21&lt;&gt;"",$R21&lt;&gt;""),$Q21*($B21-$R21)/$B21,0)))</f>
        <v/>
      </c>
      <c r="AG42" s="237" t="str">
        <f>IF(COUNTIF(RCLoadResults73[Member],A21),INDEX(RCLoadResults73[RB],MATCH(A21,RCLoadResults73[Member],0)),IF(OR($A21="",$B21="",$B21&lt;=0),"",$S21*$B21/2+IF(AND($E21&lt;&gt;"",$F21&lt;&gt;""),$E21*$F21/$B21,0)+IF(AND($H21&lt;&gt;"",$I21&lt;&gt;""),$H21*$I21/$B21,0)+IF(AND($K21&lt;&gt;"",$L21&lt;&gt;""),$K21*$L21/$B21,0)+IF(AND($N21&lt;&gt;"",$O21&lt;&gt;""),$N21*$O21/$B21,0)+IF(AND($Q21&lt;&gt;"",$R21&lt;&gt;""),$Q21*$R21/$B21,0)))</f>
        <v/>
      </c>
      <c r="AH42" s="237" t="str">
        <f t="shared" si="4"/>
        <v/>
      </c>
      <c r="AI42" s="237" t="str">
        <f t="shared" si="5"/>
        <v/>
      </c>
      <c r="AJ42" s="237" t="str">
        <f t="shared" si="6"/>
        <v/>
      </c>
    </row>
    <row r="43" spans="1:36" ht="28.05" customHeight="1">
      <c r="A43" s="202">
        <v>20</v>
      </c>
      <c r="B43" s="202" t="str">
        <f t="shared" si="7"/>
        <v/>
      </c>
      <c r="C43" s="31"/>
      <c r="D43" s="31"/>
      <c r="E43" s="31"/>
      <c r="F43" s="31"/>
      <c r="G43" s="31"/>
      <c r="H43" s="216" t="str">
        <f t="shared" si="8"/>
        <v/>
      </c>
      <c r="I43" s="216" t="str">
        <f t="shared" si="9"/>
        <v/>
      </c>
      <c r="J43" s="216" t="str">
        <f t="shared" si="10"/>
        <v/>
      </c>
      <c r="K43" s="216" t="str">
        <f t="shared" si="11"/>
        <v/>
      </c>
      <c r="L43" s="234" t="str">
        <f t="shared" si="12"/>
        <v>UNUSED</v>
      </c>
      <c r="U43" s="12"/>
      <c r="V43" s="12"/>
      <c r="AF43" s="237" t="str">
        <f>IF(COUNTIF(RCLoadResults73[Member],A22),INDEX(RCLoadResults73[RA],MATCH(A22,RCLoadResults73[Member],0)),IF(OR($A22="",$B22="",$B22&lt;=0),"",$S22*$B22/2+IF(AND($E22&lt;&gt;"",$F22&lt;&gt;""),$E22*($B22-$F22)/$B22,0)+IF(AND($H22&lt;&gt;"",$I22&lt;&gt;""),$H22*($B22-$I22)/$B22,0)+IF(AND($K22&lt;&gt;"",$L22&lt;&gt;""),$K22*($B22-$L22)/$B22,0)+IF(AND($N22&lt;&gt;"",$O22&lt;&gt;""),$N22*($B22-$O22)/$B22,0)+IF(AND($Q22&lt;&gt;"",$R22&lt;&gt;""),$Q22*($B22-$R22)/$B22,0)))</f>
        <v/>
      </c>
      <c r="AG43" s="237" t="str">
        <f>IF(COUNTIF(RCLoadResults73[Member],A22),INDEX(RCLoadResults73[RB],MATCH(A22,RCLoadResults73[Member],0)),IF(OR($A22="",$B22="",$B22&lt;=0),"",$S22*$B22/2+IF(AND($E22&lt;&gt;"",$F22&lt;&gt;""),$E22*$F22/$B22,0)+IF(AND($H22&lt;&gt;"",$I22&lt;&gt;""),$H22*$I22/$B22,0)+IF(AND($K22&lt;&gt;"",$L22&lt;&gt;""),$K22*$L22/$B22,0)+IF(AND($N22&lt;&gt;"",$O22&lt;&gt;""),$N22*$O22/$B22,0)+IF(AND($Q22&lt;&gt;"",$R22&lt;&gt;""),$Q22*$R22/$B22,0)))</f>
        <v/>
      </c>
      <c r="AH43" s="237" t="str">
        <f t="shared" si="4"/>
        <v/>
      </c>
      <c r="AI43" s="237" t="str">
        <f t="shared" si="5"/>
        <v/>
      </c>
      <c r="AJ43" s="237" t="str">
        <f t="shared" si="6"/>
        <v/>
      </c>
    </row>
    <row r="44" spans="1:36" ht="28.05" customHeight="1">
      <c r="A44" s="202">
        <v>21</v>
      </c>
      <c r="B44" s="202" t="str">
        <f t="shared" si="7"/>
        <v/>
      </c>
      <c r="C44" s="31"/>
      <c r="D44" s="31"/>
      <c r="E44" s="31"/>
      <c r="F44" s="31"/>
      <c r="G44" s="31"/>
      <c r="H44" s="216" t="str">
        <f t="shared" si="8"/>
        <v/>
      </c>
      <c r="I44" s="216" t="str">
        <f t="shared" si="9"/>
        <v/>
      </c>
      <c r="J44" s="216" t="str">
        <f t="shared" si="10"/>
        <v/>
      </c>
      <c r="K44" s="216" t="str">
        <f t="shared" si="11"/>
        <v/>
      </c>
      <c r="L44" s="234" t="str">
        <f t="shared" si="12"/>
        <v>UNUSED</v>
      </c>
      <c r="U44" s="12"/>
      <c r="V44" s="12"/>
      <c r="AF44" s="237" t="str">
        <f>IF(COUNTIF(RCLoadResults73[Member],A23),INDEX(RCLoadResults73[RA],MATCH(A23,RCLoadResults73[Member],0)),IF(OR($A23="",$B23="",$B23&lt;=0),"",$S23*$B23/2+IF(AND($E23&lt;&gt;"",$F23&lt;&gt;""),$E23*($B23-$F23)/$B23,0)+IF(AND($H23&lt;&gt;"",$I23&lt;&gt;""),$H23*($B23-$I23)/$B23,0)+IF(AND($K23&lt;&gt;"",$L23&lt;&gt;""),$K23*($B23-$L23)/$B23,0)+IF(AND($N23&lt;&gt;"",$O23&lt;&gt;""),$N23*($B23-$O23)/$B23,0)+IF(AND($Q23&lt;&gt;"",$R23&lt;&gt;""),$Q23*($B23-$R23)/$B23,0)))</f>
        <v/>
      </c>
      <c r="AG44" s="237" t="str">
        <f>IF(COUNTIF(RCLoadResults73[Member],A23),INDEX(RCLoadResults73[RB],MATCH(A23,RCLoadResults73[Member],0)),IF(OR($A23="",$B23="",$B23&lt;=0),"",$S23*$B23/2+IF(AND($E23&lt;&gt;"",$F23&lt;&gt;""),$E23*$F23/$B23,0)+IF(AND($H23&lt;&gt;"",$I23&lt;&gt;""),$H23*$I23/$B23,0)+IF(AND($K23&lt;&gt;"",$L23&lt;&gt;""),$K23*$L23/$B23,0)+IF(AND($N23&lt;&gt;"",$O23&lt;&gt;""),$N23*$O23/$B23,0)+IF(AND($Q23&lt;&gt;"",$R23&lt;&gt;""),$Q23*$R23/$B23,0)))</f>
        <v/>
      </c>
      <c r="AH44" s="237" t="str">
        <f t="shared" si="4"/>
        <v/>
      </c>
      <c r="AI44" s="237" t="str">
        <f t="shared" si="5"/>
        <v/>
      </c>
      <c r="AJ44" s="237" t="str">
        <f t="shared" si="6"/>
        <v/>
      </c>
    </row>
    <row r="45" spans="1:36" ht="28.05" customHeight="1">
      <c r="A45" s="202">
        <v>22</v>
      </c>
      <c r="B45" s="202" t="str">
        <f t="shared" si="7"/>
        <v/>
      </c>
      <c r="C45" s="31"/>
      <c r="D45" s="31"/>
      <c r="E45" s="31"/>
      <c r="F45" s="31"/>
      <c r="G45" s="31"/>
      <c r="H45" s="216" t="str">
        <f t="shared" si="8"/>
        <v/>
      </c>
      <c r="I45" s="216" t="str">
        <f t="shared" si="9"/>
        <v/>
      </c>
      <c r="J45" s="216" t="str">
        <f t="shared" si="10"/>
        <v/>
      </c>
      <c r="K45" s="216" t="str">
        <f t="shared" si="11"/>
        <v/>
      </c>
      <c r="L45" s="234" t="str">
        <f t="shared" si="12"/>
        <v>UNUSED</v>
      </c>
      <c r="U45" s="12"/>
      <c r="V45" s="12"/>
      <c r="W45" s="12"/>
      <c r="X45" s="12"/>
      <c r="Y45" s="12"/>
      <c r="Z45" s="12"/>
      <c r="AF45" s="237" t="str">
        <f>IF(COUNTIF(RCLoadResults73[Member],A24),INDEX(RCLoadResults73[RA],MATCH(A24,RCLoadResults73[Member],0)),IF(OR($A24="",$B24="",$B24&lt;=0),"",$S24*$B24/2+IF(AND($E24&lt;&gt;"",$F24&lt;&gt;""),$E24*($B24-$F24)/$B24,0)+IF(AND($H24&lt;&gt;"",$I24&lt;&gt;""),$H24*($B24-$I24)/$B24,0)+IF(AND($K24&lt;&gt;"",$L24&lt;&gt;""),$K24*($B24-$L24)/$B24,0)+IF(AND($N24&lt;&gt;"",$O24&lt;&gt;""),$N24*($B24-$O24)/$B24,0)+IF(AND($Q24&lt;&gt;"",$R24&lt;&gt;""),$Q24*($B24-$R24)/$B24,0)))</f>
        <v/>
      </c>
      <c r="AG45" s="237" t="str">
        <f>IF(COUNTIF(RCLoadResults73[Member],A24),INDEX(RCLoadResults73[RB],MATCH(A24,RCLoadResults73[Member],0)),IF(OR($A24="",$B24="",$B24&lt;=0),"",$S24*$B24/2+IF(AND($E24&lt;&gt;"",$F24&lt;&gt;""),$E24*$F24/$B24,0)+IF(AND($H24&lt;&gt;"",$I24&lt;&gt;""),$H24*$I24/$B24,0)+IF(AND($K24&lt;&gt;"",$L24&lt;&gt;""),$K24*$L24/$B24,0)+IF(AND($N24&lt;&gt;"",$O24&lt;&gt;""),$N24*$O24/$B24,0)+IF(AND($Q24&lt;&gt;"",$R24&lt;&gt;""),$Q24*$R24/$B24,0)))</f>
        <v/>
      </c>
      <c r="AH45" s="237" t="str">
        <f t="shared" si="4"/>
        <v/>
      </c>
      <c r="AI45" s="237" t="str">
        <f t="shared" si="5"/>
        <v/>
      </c>
      <c r="AJ45" s="237" t="str">
        <f t="shared" si="6"/>
        <v/>
      </c>
    </row>
    <row r="46" spans="1:36" ht="28.05" customHeight="1">
      <c r="A46" s="202">
        <v>23</v>
      </c>
      <c r="B46" s="202" t="str">
        <f t="shared" si="7"/>
        <v/>
      </c>
      <c r="C46" s="31"/>
      <c r="D46" s="31"/>
      <c r="E46" s="31"/>
      <c r="F46" s="31"/>
      <c r="G46" s="31"/>
      <c r="H46" s="216" t="str">
        <f t="shared" si="8"/>
        <v/>
      </c>
      <c r="I46" s="216" t="str">
        <f t="shared" si="9"/>
        <v/>
      </c>
      <c r="J46" s="216" t="str">
        <f t="shared" si="10"/>
        <v/>
      </c>
      <c r="K46" s="216" t="str">
        <f t="shared" si="11"/>
        <v/>
      </c>
      <c r="L46" s="234" t="str">
        <f t="shared" si="12"/>
        <v>UNUSED</v>
      </c>
      <c r="U46" s="12"/>
      <c r="V46" s="12"/>
      <c r="W46" s="12"/>
      <c r="X46" s="12"/>
      <c r="Y46" s="12"/>
      <c r="Z46" s="12"/>
      <c r="AF46" s="237" t="str">
        <f>IF(COUNTIF(RCLoadResults73[Member],A25),INDEX(RCLoadResults73[RA],MATCH(A25,RCLoadResults73[Member],0)),IF(OR($A25="",$B25="",$B25&lt;=0),"",$S25*$B25/2+IF(AND($E25&lt;&gt;"",$F25&lt;&gt;""),$E25*($B25-$F25)/$B25,0)+IF(AND($H25&lt;&gt;"",$I25&lt;&gt;""),$H25*($B25-$I25)/$B25,0)+IF(AND($K25&lt;&gt;"",$L25&lt;&gt;""),$K25*($B25-$L25)/$B25,0)+IF(AND($N25&lt;&gt;"",$O25&lt;&gt;""),$N25*($B25-$O25)/$B25,0)+IF(AND($Q25&lt;&gt;"",$R25&lt;&gt;""),$Q25*($B25-$R25)/$B25,0)))</f>
        <v/>
      </c>
      <c r="AG46" s="237" t="str">
        <f>IF(COUNTIF(RCLoadResults73[Member],A25),INDEX(RCLoadResults73[RB],MATCH(A25,RCLoadResults73[Member],0)),IF(OR($A25="",$B25="",$B25&lt;=0),"",$S25*$B25/2+IF(AND($E25&lt;&gt;"",$F25&lt;&gt;""),$E25*$F25/$B25,0)+IF(AND($H25&lt;&gt;"",$I25&lt;&gt;""),$H25*$I25/$B25,0)+IF(AND($K25&lt;&gt;"",$L25&lt;&gt;""),$K25*$L25/$B25,0)+IF(AND($N25&lt;&gt;"",$O25&lt;&gt;""),$N25*$O25/$B25,0)+IF(AND($Q25&lt;&gt;"",$R25&lt;&gt;""),$Q25*$R25/$B25,0)))</f>
        <v/>
      </c>
      <c r="AH46" s="237" t="str">
        <f t="shared" si="4"/>
        <v/>
      </c>
      <c r="AI46" s="237" t="str">
        <f t="shared" si="5"/>
        <v/>
      </c>
      <c r="AJ46" s="237" t="str">
        <f t="shared" si="6"/>
        <v/>
      </c>
    </row>
    <row r="47" spans="1:36" ht="28.05" customHeight="1">
      <c r="A47" s="202">
        <v>24</v>
      </c>
      <c r="B47" s="202" t="str">
        <f t="shared" si="7"/>
        <v/>
      </c>
      <c r="C47" s="31"/>
      <c r="D47" s="31"/>
      <c r="E47" s="31"/>
      <c r="F47" s="31"/>
      <c r="G47" s="31"/>
      <c r="H47" s="216" t="str">
        <f t="shared" si="8"/>
        <v/>
      </c>
      <c r="I47" s="216" t="str">
        <f t="shared" si="9"/>
        <v/>
      </c>
      <c r="J47" s="216" t="str">
        <f t="shared" si="10"/>
        <v/>
      </c>
      <c r="K47" s="216" t="str">
        <f t="shared" si="11"/>
        <v/>
      </c>
      <c r="L47" s="234" t="str">
        <f t="shared" si="12"/>
        <v>UNUSED</v>
      </c>
    </row>
    <row r="48" spans="1:36" ht="28.05" customHeight="1">
      <c r="A48" s="202">
        <v>25</v>
      </c>
      <c r="B48" s="202" t="str">
        <f t="shared" si="7"/>
        <v/>
      </c>
      <c r="C48" s="31"/>
      <c r="D48" s="31"/>
      <c r="E48" s="31"/>
      <c r="F48" s="31"/>
      <c r="G48" s="31"/>
      <c r="H48" s="216" t="str">
        <f t="shared" si="8"/>
        <v/>
      </c>
      <c r="I48" s="216" t="str">
        <f t="shared" si="9"/>
        <v/>
      </c>
      <c r="J48" s="216" t="str">
        <f t="shared" si="10"/>
        <v/>
      </c>
      <c r="K48" s="216" t="str">
        <f t="shared" si="11"/>
        <v/>
      </c>
      <c r="L48" s="234" t="str">
        <f t="shared" si="12"/>
        <v>UNUSED</v>
      </c>
    </row>
    <row r="49" spans="1:20" ht="82.05" customHeight="1"/>
    <row r="50" spans="1:20" ht="25.05" customHeight="1">
      <c r="A50" s="404" t="s">
        <v>492</v>
      </c>
      <c r="B50" s="404"/>
      <c r="C50" s="404"/>
      <c r="D50" s="404"/>
      <c r="E50" s="404"/>
      <c r="F50" s="404"/>
      <c r="G50" s="404"/>
      <c r="H50" s="404"/>
      <c r="I50" s="404"/>
      <c r="J50" s="404"/>
      <c r="K50" s="404"/>
      <c r="L50" s="404"/>
    </row>
    <row r="51" spans="1:20" ht="25.05" customHeight="1">
      <c r="A51" s="404"/>
      <c r="B51" s="404"/>
      <c r="C51" s="404"/>
      <c r="D51" s="404"/>
      <c r="E51" s="404"/>
      <c r="F51" s="404"/>
      <c r="G51" s="404"/>
      <c r="H51" s="404"/>
      <c r="I51" s="404"/>
      <c r="J51" s="404"/>
      <c r="K51" s="404"/>
      <c r="L51" s="404"/>
    </row>
    <row r="52" spans="1:20" ht="82.05" customHeight="1"/>
    <row r="53" spans="1:20" ht="82.05" customHeight="1"/>
    <row r="54" spans="1:20" ht="82.05" customHeight="1">
      <c r="A54" s="449" t="s">
        <v>164</v>
      </c>
      <c r="B54" s="449"/>
      <c r="C54" s="449"/>
      <c r="D54" s="449"/>
      <c r="E54" s="449"/>
      <c r="F54" s="449"/>
      <c r="G54" s="449"/>
      <c r="H54" s="449"/>
      <c r="I54" s="449"/>
      <c r="J54" s="449"/>
      <c r="K54" s="449"/>
      <c r="L54" s="449"/>
    </row>
    <row r="55" spans="1:20" ht="82.05" customHeight="1">
      <c r="A55" s="13" t="s">
        <v>165</v>
      </c>
      <c r="B55" s="13" t="s">
        <v>118</v>
      </c>
      <c r="C55" s="13"/>
      <c r="D55" s="13"/>
      <c r="E55" s="13"/>
      <c r="F55" s="13"/>
      <c r="G55" s="13"/>
      <c r="H55" s="13"/>
      <c r="I55" s="13"/>
      <c r="J55" s="13"/>
      <c r="K55" s="13"/>
      <c r="L55" s="13" t="s">
        <v>166</v>
      </c>
    </row>
    <row r="56" spans="1:20" ht="82.05" customHeight="1">
      <c r="A56" s="235" t="str">
        <f>IF(OR($A$6="",$C$6="",$T$6=""),"",$A$6&amp;" "&amp;TEXT($T$6*1000,"0.###")&amp;" × "&amp;TEXT($C$6,"0.###")&amp;" mm dp.")</f>
        <v/>
      </c>
      <c r="B56" s="450" t="str">
        <f>IF($A$6="","",IF(OR($X$6="",$Y$6="",$Y$6="INPUT REQUIRED"),"INPUT REQUIRED","Span / Depth = "&amp;TEXT($B$6*1000,"0.###")&amp;"/"&amp;TEXT($C$6,"0.###")&amp;IF(AND($B$6&gt;10.001,$U$6&lt;&gt;"Cantilever")," × "&amp;TEXT($B$6,"0.000")&amp;"/10","")&amp;" = "&amp;TEXT($V$6,"0.00")&amp;IF($V$6&lt;=$W$6," &lt; "," &gt; ")&amp;TEXT($W$6,"0.00")&amp;" ("&amp;$X$6&amp;")"&amp;IF($V$6&gt;$W$6,CHAR(10)&amp;"Actual deflection will be checked in Section B.","")&amp;CHAR(10)&amp;"P calculation: "&amp;IF($D$6="","","P1 = "&amp;$D$6&amp;" total = "&amp;TEXT($E$6,"#,##0.00")&amp;" kN; ")&amp;IF($G$6="","","P2 = "&amp;$G$6&amp;" total = "&amp;TEXT($H$6,"#,##0.00")&amp;" kN; ")&amp;IF($J$6="","","P3 = "&amp;$J$6&amp;" total = "&amp;TEXT($K$6,"#,##0.00")&amp;" kN; ")&amp;IF($M$6="","","P4 = "&amp;$M$6&amp;" total = "&amp;TEXT($N$6,"#,##0.00")&amp;" kN; ")&amp;IF($P$6="","","P5 = "&amp;$P$6&amp;" total = "&amp;TEXT($Q$6,"#,##0.00")&amp;" kN; ")&amp;CHAR(10)&amp;"Loads"&amp;IF($E$6="","","; P1="&amp;TEXT($E$6,"0.00")&amp;" kN @ a1="&amp;TEXT($F$6,"0.000")&amp;" m (b1="&amp;TEXT($B$6-$F$6,"0.000")&amp;" m)")&amp;IF($H$6="","","; P2="&amp;TEXT($H$6,"0.00")&amp;" kN @ a2="&amp;TEXT($I$6,"0.000")&amp;" m (b2="&amp;TEXT($B$6-$I$6,"0.000")&amp;" m)")&amp;IF($K$6="","","; P3="&amp;TEXT($K$6,"0.00")&amp;" kN @ a3="&amp;TEXT($L$6,"0.000")&amp;" m (b3="&amp;TEXT($B$6-$L$6,"0.000")&amp;" m)")&amp;IF($N$6="","","; P4="&amp;TEXT($N$6,"0.00")&amp;" kN @ a4="&amp;TEXT($O$6,"0.000")&amp;" m (b4="&amp;TEXT($B$6-$O$6,"0.000")&amp;" m)")&amp;IF($Q$6="","","; P5="&amp;TEXT($Q$6,"0.00")&amp;" kN @ a5="&amp;TEXT($R$6,"0.000")&amp;" m (b5="&amp;TEXT($B$6-$R$6,"0.000")&amp;" m)")&amp;"; w="&amp;TEXT($S$6,"0.00")&amp;" kN/m"&amp;IF(L29="OK",CHAR(10)&amp;"UDL = "&amp;TEXT(C29,"0.00")&amp;" x "&amp;TEXT(D29,"0.00")&amp;" x (1.4 x "&amp;"("&amp;TEXT(E29,"0.00")&amp;" + "&amp;TEXT(N(F29),"0.00")&amp;")"&amp;" + 1.6 x "&amp;TEXT(G29,"0.00")&amp;") / "&amp;TEXT(I29,"0.00")&amp;" = "&amp;TEXT(K29,"0.00")&amp;" kN/m (additional floor load)","")&amp;CHAR(10)&amp;"V_L = wL/2 + Σ(P_i·b_i/L) = "&amp;TEXT($AF$27,"0.00")&amp;" kN; V_R = wL/2 + Σ(P_i·a_i/L) = "&amp;TEXT($AG$27,"0.00")&amp;" kN"&amp;CHAR(10)&amp;"Vult = MAX(V_L,V_R) = "&amp;TEXT($AH$27,"0.00")&amp;" kN; v = Vult/(bw × 0.9d) = "&amp;TEXT($AI$27,"0.00")&amp;" N/mm²"&amp;IF($AI$27&lt;=$AJ$27," &lt; "," &gt; ")&amp;"0.8√fcu = "&amp;TEXT($AJ$27,"0.00")&amp;" N/mm² ("&amp;$Y$6&amp;")"))</f>
        <v/>
      </c>
      <c r="C56" s="450"/>
      <c r="D56" s="450"/>
      <c r="E56" s="450"/>
      <c r="F56" s="450"/>
      <c r="G56" s="450"/>
      <c r="H56" s="450"/>
      <c r="I56" s="450"/>
      <c r="J56" s="450"/>
      <c r="K56" s="450"/>
      <c r="L56" s="201" t="str">
        <f>IF($A$6="","",IF(OR($X$6="",$Y$6="",$Y$6="INPUT REQUIRED"),"INPUT REQUIRED",IF(AND($X$6="OKAY",$Y$6="OKAY"),"OKAY","NOT OKAY")))</f>
        <v/>
      </c>
      <c r="M56" s="18"/>
      <c r="N56" s="18"/>
      <c r="O56" s="18"/>
      <c r="P56" s="18"/>
      <c r="Q56" s="18"/>
      <c r="R56" s="18"/>
      <c r="S56" s="18"/>
      <c r="T56" s="18"/>
    </row>
    <row r="57" spans="1:20" ht="82.05" customHeight="1">
      <c r="A57" s="235" t="str">
        <f>IF(OR($A$7="",$C$7="",$T$7=""),"",$A$7&amp;" "&amp;TEXT($T$7*1000,"0.###")&amp;" × "&amp;TEXT($C$7,"0.###")&amp;" mm dp.")</f>
        <v/>
      </c>
      <c r="B57" s="450" t="str">
        <f>IF($A$7="","",IF(OR($X$7="",$Y$7="",$Y$7="INPUT REQUIRED"),"INPUT REQUIRED","Span / Depth = "&amp;TEXT($B$7*1000,"0.###")&amp;"/"&amp;TEXT($C$7,"0.###")&amp;IF(AND($B$7&gt;10.001,$U$7&lt;&gt;"Cantilever")," × "&amp;TEXT($B$7,"0.000")&amp;"/10","")&amp;" = "&amp;TEXT($V$7,"0.00")&amp;IF($V$7&lt;=$W$7," &lt; "," &gt; ")&amp;TEXT($W$7,"0.00")&amp;" ("&amp;$X$7&amp;")"&amp;IF($V$7&gt;$W$7,CHAR(10)&amp;"Actual deflection will be checked in Section B.","")&amp;CHAR(10)&amp;"P calculation: "&amp;IF($D$7="","","P1 = "&amp;$D$7&amp;" total = "&amp;TEXT($E$7,"#,##0.00")&amp;" kN; ")&amp;IF($G$7="","","P2 = "&amp;$G$7&amp;" total = "&amp;TEXT($H$7,"#,##0.00")&amp;" kN; ")&amp;IF($J$7="","","P3 = "&amp;$J$7&amp;" total = "&amp;TEXT($K$7,"#,##0.00")&amp;" kN; ")&amp;IF($M$7="","","P4 = "&amp;$M$7&amp;" total = "&amp;TEXT($N$7,"#,##0.00")&amp;" kN; ")&amp;IF($P$7="","","P5 = "&amp;$P$7&amp;" total = "&amp;TEXT($Q$7,"#,##0.00")&amp;" kN; ")&amp;CHAR(10)&amp;"Loads"&amp;IF($E$7="","","; P1="&amp;TEXT($E$7,"0.00")&amp;" kN @ a1="&amp;TEXT($F$7,"0.000")&amp;" m (b1="&amp;TEXT($B$7-$F$7,"0.000")&amp;" m)")&amp;IF($H$7="","","; P2="&amp;TEXT($H$7,"0.00")&amp;" kN @ a2="&amp;TEXT($I$7,"0.000")&amp;" m (b2="&amp;TEXT($B$7-$I$7,"0.000")&amp;" m)")&amp;IF($K$7="","","; P3="&amp;TEXT($K$7,"0.00")&amp;" kN @ a3="&amp;TEXT($L$7,"0.000")&amp;" m (b3="&amp;TEXT($B$7-$L$7,"0.000")&amp;" m)")&amp;IF($N$7="","","; P4="&amp;TEXT($N$7,"0.00")&amp;" kN @ a4="&amp;TEXT($O$7,"0.000")&amp;" m (b4="&amp;TEXT($B$7-$O$7,"0.000")&amp;" m)")&amp;IF($Q$7="","","; P5="&amp;TEXT($Q$7,"0.00")&amp;" kN @ a5="&amp;TEXT($R$7,"0.000")&amp;" m (b5="&amp;TEXT($B$7-$R$7,"0.000")&amp;" m)")&amp;"; w="&amp;TEXT($S$7,"0.00")&amp;" kN/m"&amp;IF(L30="OK",CHAR(10)&amp;"UDL = "&amp;TEXT(C30,"0.00")&amp;" x "&amp;TEXT(D30,"0.00")&amp;" x (1.4 x "&amp;"("&amp;TEXT(E30,"0.00")&amp;" + "&amp;TEXT(N(F30),"0.00")&amp;")"&amp;" + 1.6 x "&amp;TEXT(G30,"0.00")&amp;") / "&amp;TEXT(I30,"0.00")&amp;" = "&amp;TEXT(K30,"0.00")&amp;" kN/m (additional floor load)","")&amp;CHAR(10)&amp;"V_L = wL/2 + Σ(P_i·b_i/L) = "&amp;TEXT($AF$28,"0.00")&amp;" kN; V_R = wL/2 + Σ(P_i·a_i/L) = "&amp;TEXT($AG$28,"0.00")&amp;" kN"&amp;CHAR(10)&amp;"Vult = MAX(V_L,V_R) = "&amp;TEXT($AH$28,"0.00")&amp;" kN; v = Vult/(bw × 0.9d) = "&amp;TEXT($AI$28,"0.00")&amp;" N/mm²"&amp;IF($AI$28&lt;=$AJ$28," &lt; "," &gt; ")&amp;"0.8√fcu = "&amp;TEXT($AJ$28,"0.00")&amp;" N/mm² ("&amp;$Y$7&amp;")"))</f>
        <v/>
      </c>
      <c r="C57" s="450"/>
      <c r="D57" s="450"/>
      <c r="E57" s="450"/>
      <c r="F57" s="450"/>
      <c r="G57" s="450"/>
      <c r="H57" s="450"/>
      <c r="I57" s="450"/>
      <c r="J57" s="450"/>
      <c r="K57" s="450"/>
      <c r="L57" s="201" t="str">
        <f>IF($A$7="","",IF(OR($X$7="",$Y$7="",$Y$7="INPUT REQUIRED"),"INPUT REQUIRED",IF(AND($X$7="OKAY",$Y$7="OKAY"),"OKAY","NOT OKAY")))</f>
        <v/>
      </c>
      <c r="M57" s="18"/>
      <c r="N57" s="18"/>
      <c r="O57" s="18"/>
      <c r="P57" s="18"/>
      <c r="Q57" s="18"/>
      <c r="R57" s="18"/>
      <c r="S57" s="18"/>
      <c r="T57" s="18"/>
    </row>
    <row r="58" spans="1:20" ht="82.05" customHeight="1">
      <c r="A58" s="235" t="str">
        <f>IF(OR($A$8="",$C$8="",$T$8=""),"",$A$8&amp;" "&amp;TEXT($T$8*1000,"0.###")&amp;" × "&amp;TEXT($C$8,"0.###")&amp;" mm dp.")</f>
        <v/>
      </c>
      <c r="B58" s="450" t="str">
        <f>IF($A$8="","",IF(OR($X$8="",$Y$8="",$Y$8="INPUT REQUIRED"),"INPUT REQUIRED","Span / Depth = "&amp;TEXT($B$8*1000,"0.###")&amp;"/"&amp;TEXT($C$8,"0.###")&amp;IF(AND($B$8&gt;10.001,$U$8&lt;&gt;"Cantilever")," × "&amp;TEXT($B$8,"0.000")&amp;"/10","")&amp;" = "&amp;TEXT($V$8,"0.00")&amp;IF($V$8&lt;=$W$8," &lt; "," &gt; ")&amp;TEXT($W$8,"0.00")&amp;" ("&amp;$X$8&amp;")"&amp;IF($V$8&gt;$W$8,CHAR(10)&amp;"Actual deflection will be checked in Section B.","")&amp;CHAR(10)&amp;"P calculation: "&amp;IF($D$8="","","P1 = "&amp;$D$8&amp;" total = "&amp;TEXT($E$8,"#,##0.00")&amp;" kN; ")&amp;IF($G$8="","","P2 = "&amp;$G$8&amp;" total = "&amp;TEXT($H$8,"#,##0.00")&amp;" kN; ")&amp;IF($J$8="","","P3 = "&amp;$J$8&amp;" total = "&amp;TEXT($K$8,"#,##0.00")&amp;" kN; ")&amp;IF($M$8="","","P4 = "&amp;$M$8&amp;" total = "&amp;TEXT($N$8,"#,##0.00")&amp;" kN; ")&amp;IF($P$8="","","P5 = "&amp;$P$8&amp;" total = "&amp;TEXT($Q$8,"#,##0.00")&amp;" kN; ")&amp;CHAR(10)&amp;"Loads"&amp;IF($E$8="","","; P1="&amp;TEXT($E$8,"0.00")&amp;" kN @ a1="&amp;TEXT($F$8,"0.000")&amp;" m (b1="&amp;TEXT($B$8-$F$8,"0.000")&amp;" m)")&amp;IF($H$8="","","; P2="&amp;TEXT($H$8,"0.00")&amp;" kN @ a2="&amp;TEXT($I$8,"0.000")&amp;" m (b2="&amp;TEXT($B$8-$I$8,"0.000")&amp;" m)")&amp;IF($K$8="","","; P3="&amp;TEXT($K$8,"0.00")&amp;" kN @ a3="&amp;TEXT($L$8,"0.000")&amp;" m (b3="&amp;TEXT($B$8-$L$8,"0.000")&amp;" m)")&amp;IF($N$8="","","; P4="&amp;TEXT($N$8,"0.00")&amp;" kN @ a4="&amp;TEXT($O$8,"0.000")&amp;" m (b4="&amp;TEXT($B$8-$O$8,"0.000")&amp;" m)")&amp;IF($Q$8="","","; P5="&amp;TEXT($Q$8,"0.00")&amp;" kN @ a5="&amp;TEXT($R$8,"0.000")&amp;" m (b5="&amp;TEXT($B$8-$R$8,"0.000")&amp;" m)")&amp;"; w="&amp;TEXT($S$8,"0.00")&amp;" kN/m"&amp;IF(L31="OK",CHAR(10)&amp;"UDL = "&amp;TEXT(C31,"0.00")&amp;" x "&amp;TEXT(D31,"0.00")&amp;" x (1.4 x "&amp;"("&amp;TEXT(E31,"0.00")&amp;" + "&amp;TEXT(N(F31),"0.00")&amp;")"&amp;" + 1.6 x "&amp;TEXT(G31,"0.00")&amp;") / "&amp;TEXT(I31,"0.00")&amp;" = "&amp;TEXT(K31,"0.00")&amp;" kN/m (additional floor load)","")&amp;CHAR(10)&amp;"V_L = wL/2 + Σ(P_i·b_i/L) = "&amp;TEXT($AF$29,"0.00")&amp;" kN; V_R = wL/2 + Σ(P_i·a_i/L) = "&amp;TEXT($AG$29,"0.00")&amp;" kN"&amp;CHAR(10)&amp;"Vult = MAX(V_L,V_R) = "&amp;TEXT($AH$29,"0.00")&amp;" kN; v = Vult/(bw × 0.9d) = "&amp;TEXT($AI$29,"0.00")&amp;" N/mm²"&amp;IF($AI$29&lt;=$AJ$29," &lt; "," &gt; ")&amp;"0.8√fcu = "&amp;TEXT($AJ$29,"0.00")&amp;" N/mm² ("&amp;$Y$8&amp;")"))</f>
        <v/>
      </c>
      <c r="C58" s="450"/>
      <c r="D58" s="450"/>
      <c r="E58" s="450"/>
      <c r="F58" s="450"/>
      <c r="G58" s="450"/>
      <c r="H58" s="450"/>
      <c r="I58" s="450"/>
      <c r="J58" s="450"/>
      <c r="K58" s="450"/>
      <c r="L58" s="201" t="str">
        <f>IF($A$8="","",IF(OR($X$8="",$Y$8="",$Y$8="INPUT REQUIRED"),"INPUT REQUIRED",IF(AND($X$8="OKAY",$Y$8="OKAY"),"OKAY","NOT OKAY")))</f>
        <v/>
      </c>
      <c r="M58" s="18"/>
      <c r="N58" s="18"/>
      <c r="O58" s="18"/>
      <c r="P58" s="18"/>
      <c r="Q58" s="18"/>
      <c r="R58" s="18"/>
      <c r="S58" s="18"/>
      <c r="T58" s="18"/>
    </row>
    <row r="59" spans="1:20" ht="82.05" customHeight="1">
      <c r="A59" s="235" t="str">
        <f>IF(OR($A$9="",$C$9="",$T$9=""),"",$A$9&amp;" "&amp;TEXT($T$9*1000,"0.###")&amp;" × "&amp;TEXT($C$9,"0.###")&amp;" mm dp.")</f>
        <v/>
      </c>
      <c r="B59" s="450" t="str">
        <f>IF($A$9="","",IF(OR($X$9="",$Y$9="",$Y$9="INPUT REQUIRED"),"INPUT REQUIRED","Span / Depth = "&amp;TEXT($B$9*1000,"0.###")&amp;"/"&amp;TEXT($C$9,"0.###")&amp;IF(AND($B$9&gt;10.001,$U$9&lt;&gt;"Cantilever")," × "&amp;TEXT($B$9,"0.000")&amp;"/10","")&amp;" = "&amp;TEXT($V$9,"0.00")&amp;IF($V$9&lt;=$W$9," &lt; "," &gt; ")&amp;TEXT($W$9,"0.00")&amp;" ("&amp;$X$9&amp;")"&amp;IF($V$9&gt;$W$9,CHAR(10)&amp;"Actual deflection will be checked in Section B.","")&amp;CHAR(10)&amp;"P calculation: "&amp;IF($D$9="","","P1 = "&amp;$D$9&amp;" total = "&amp;TEXT($E$9,"#,##0.00")&amp;" kN; ")&amp;IF($G$9="","","P2 = "&amp;$G$9&amp;" total = "&amp;TEXT($H$9,"#,##0.00")&amp;" kN; ")&amp;IF($J$9="","","P3 = "&amp;$J$9&amp;" total = "&amp;TEXT($K$9,"#,##0.00")&amp;" kN; ")&amp;IF($M$9="","","P4 = "&amp;$M$9&amp;" total = "&amp;TEXT($N$9,"#,##0.00")&amp;" kN; ")&amp;IF($P$9="","","P5 = "&amp;$P$9&amp;" total = "&amp;TEXT($Q$9,"#,##0.00")&amp;" kN; ")&amp;CHAR(10)&amp;"Loads"&amp;IF($E$9="","","; P1="&amp;TEXT($E$9,"0.00")&amp;" kN @ a1="&amp;TEXT($F$9,"0.000")&amp;" m (b1="&amp;TEXT($B$9-$F$9,"0.000")&amp;" m)")&amp;IF($H$9="","","; P2="&amp;TEXT($H$9,"0.00")&amp;" kN @ a2="&amp;TEXT($I$9,"0.000")&amp;" m (b2="&amp;TEXT($B$9-$I$9,"0.000")&amp;" m)")&amp;IF($K$9="","","; P3="&amp;TEXT($K$9,"0.00")&amp;" kN @ a3="&amp;TEXT($L$9,"0.000")&amp;" m (b3="&amp;TEXT($B$9-$L$9,"0.000")&amp;" m)")&amp;IF($N$9="","","; P4="&amp;TEXT($N$9,"0.00")&amp;" kN @ a4="&amp;TEXT($O$9,"0.000")&amp;" m (b4="&amp;TEXT($B$9-$O$9,"0.000")&amp;" m)")&amp;IF($Q$9="","","; P5="&amp;TEXT($Q$9,"0.00")&amp;" kN @ a5="&amp;TEXT($R$9,"0.000")&amp;" m (b5="&amp;TEXT($B$9-$R$9,"0.000")&amp;" m)")&amp;"; w="&amp;TEXT($S$9,"0.00")&amp;" kN/m"&amp;IF(L32="OK",CHAR(10)&amp;"UDL = "&amp;TEXT(C32,"0.00")&amp;" x "&amp;TEXT(D32,"0.00")&amp;" x (1.4 x "&amp;"("&amp;TEXT(E32,"0.00")&amp;" + "&amp;TEXT(N(F32),"0.00")&amp;")"&amp;" + 1.6 x "&amp;TEXT(G32,"0.00")&amp;") / "&amp;TEXT(I32,"0.00")&amp;" = "&amp;TEXT(K32,"0.00")&amp;" kN/m (additional floor load)","")&amp;CHAR(10)&amp;"V_L = wL/2 + Σ(P_i·b_i/L) = "&amp;TEXT($AF$30,"0.00")&amp;" kN; V_R = wL/2 + Σ(P_i·a_i/L) = "&amp;TEXT($AG$30,"0.00")&amp;" kN"&amp;CHAR(10)&amp;"Vult = MAX(V_L,V_R) = "&amp;TEXT($AH$30,"0.00")&amp;" kN; v = Vult/(bw × 0.9d) = "&amp;TEXT($AI$30,"0.00")&amp;" N/mm²"&amp;IF($AI$30&lt;=$AJ$30," &lt; "," &gt; ")&amp;"0.8√fcu = "&amp;TEXT($AJ$30,"0.00")&amp;" N/mm² ("&amp;$Y$9&amp;")"))</f>
        <v/>
      </c>
      <c r="C59" s="450"/>
      <c r="D59" s="450"/>
      <c r="E59" s="450"/>
      <c r="F59" s="450"/>
      <c r="G59" s="450"/>
      <c r="H59" s="450"/>
      <c r="I59" s="450"/>
      <c r="J59" s="450"/>
      <c r="K59" s="450"/>
      <c r="L59" s="201" t="str">
        <f>IF($A$9="","",IF(OR($X$9="",$Y$9="",$Y$9="INPUT REQUIRED"),"INPUT REQUIRED",IF(AND($X$9="OKAY",$Y$9="OKAY"),"OKAY","NOT OKAY")))</f>
        <v/>
      </c>
      <c r="M59" s="18"/>
      <c r="N59" s="18"/>
      <c r="O59" s="18"/>
      <c r="P59" s="18"/>
      <c r="Q59" s="18"/>
      <c r="R59" s="18"/>
      <c r="S59" s="18"/>
      <c r="T59" s="18"/>
    </row>
    <row r="60" spans="1:20" ht="18" customHeight="1">
      <c r="A60" s="235" t="str">
        <f>IF(OR($A$10="",$C$10="",$T$10=""),"",$A$10&amp;" "&amp;TEXT($T$10*1000,"0.###")&amp;" × "&amp;TEXT($C$10,"0.###")&amp;" mm dp.")</f>
        <v/>
      </c>
      <c r="B60" s="450" t="str">
        <f>IF($A$10="","",IF(OR($X$10="",$Y$10="",$Y$10="INPUT REQUIRED"),"INPUT REQUIRED","Span / Depth = "&amp;TEXT($B$10*1000,"0.###")&amp;"/"&amp;TEXT($C$10,"0.###")&amp;IF(AND($B$10&gt;10.001,$U$10&lt;&gt;"Cantilever")," × "&amp;TEXT($B$10,"0.000")&amp;"/10","")&amp;" = "&amp;TEXT($V$10,"0.00")&amp;IF($V$10&lt;=$W$10," &lt; "," &gt; ")&amp;TEXT($W$10,"0.00")&amp;" ("&amp;$X$10&amp;")"&amp;IF($V$10&gt;$W$10,CHAR(10)&amp;"Actual deflection will be checked in Section B.","")&amp;CHAR(10)&amp;"P calculation: "&amp;IF($D$10="","","P1 = "&amp;$D$10&amp;" total = "&amp;TEXT($E$10,"#,##0.00")&amp;" kN; ")&amp;IF($G$10="","","P2 = "&amp;$G$10&amp;" total = "&amp;TEXT($H$10,"#,##0.00")&amp;" kN; ")&amp;IF($J$10="","","P3 = "&amp;$J$10&amp;" total = "&amp;TEXT($K$10,"#,##0.00")&amp;" kN; ")&amp;IF($M$10="","","P4 = "&amp;$M$10&amp;" total = "&amp;TEXT($N$10,"#,##0.00")&amp;" kN; ")&amp;IF($P$10="","","P5 = "&amp;$P$10&amp;" total = "&amp;TEXT($Q$10,"#,##0.00")&amp;" kN; ")&amp;CHAR(10)&amp;"Loads"&amp;IF($E$10="","","; P1="&amp;TEXT($E$10,"0.00")&amp;" kN @ a1="&amp;TEXT($F$10,"0.000")&amp;" m (b1="&amp;TEXT($B$10-$F$10,"0.000")&amp;" m)")&amp;IF($H$10="","","; P2="&amp;TEXT($H$10,"0.00")&amp;" kN @ a2="&amp;TEXT($I$10,"0.000")&amp;" m (b2="&amp;TEXT($B$10-$I$10,"0.000")&amp;" m)")&amp;IF($K$10="","","; P3="&amp;TEXT($K$10,"0.00")&amp;" kN @ a3="&amp;TEXT($L$10,"0.000")&amp;" m (b3="&amp;TEXT($B$10-$L$10,"0.000")&amp;" m)")&amp;IF($N$10="","","; P4="&amp;TEXT($N$10,"0.00")&amp;" kN @ a4="&amp;TEXT($O$10,"0.000")&amp;" m (b4="&amp;TEXT($B$10-$O$10,"0.000")&amp;" m)")&amp;IF($Q$10="","","; P5="&amp;TEXT($Q$10,"0.00")&amp;" kN @ a5="&amp;TEXT($R$10,"0.000")&amp;" m (b5="&amp;TEXT($B$10-$R$10,"0.000")&amp;" m)")&amp;"; w="&amp;TEXT($S$10,"0.00")&amp;" kN/m"&amp;IF(L33="OK",CHAR(10)&amp;"UDL = "&amp;TEXT(C33,"0.00")&amp;" x "&amp;TEXT(D33,"0.00")&amp;" x (1.4 x "&amp;"("&amp;TEXT(E33,"0.00")&amp;" + "&amp;TEXT(N(F33),"0.00")&amp;")"&amp;" + 1.6 x "&amp;TEXT(G33,"0.00")&amp;") / "&amp;TEXT(I33,"0.00")&amp;" = "&amp;TEXT(K33,"0.00")&amp;" kN/m (additional floor load)","")&amp;CHAR(10)&amp;"V_L = wL/2 + Σ(P_i·b_i/L) = "&amp;TEXT($AF$31,"0.00")&amp;" kN; V_R = wL/2 + Σ(P_i·a_i/L) = "&amp;TEXT($AG$31,"0.00")&amp;" kN"&amp;CHAR(10)&amp;"Vult = MAX(V_L,V_R) = "&amp;TEXT($AH$31,"0.00")&amp;" kN; v = Vult/(bw × 0.9d) = "&amp;TEXT($AI$31,"0.00")&amp;" N/mm²"&amp;IF($AI$31&lt;=$AJ$31," &lt; "," &gt; ")&amp;"0.8√fcu = "&amp;TEXT($AJ$31,"0.00")&amp;" N/mm² ("&amp;$Y$10&amp;")"))</f>
        <v/>
      </c>
      <c r="C60" s="450"/>
      <c r="D60" s="450"/>
      <c r="E60" s="450"/>
      <c r="F60" s="450"/>
      <c r="G60" s="450"/>
      <c r="H60" s="450"/>
      <c r="I60" s="450"/>
      <c r="J60" s="450"/>
      <c r="K60" s="450"/>
      <c r="L60" s="201" t="str">
        <f>IF($A$10="","",IF(OR($X$10="",$Y$10="",$Y$10="INPUT REQUIRED"),"INPUT REQUIRED",IF(AND($X$10="OKAY",$Y$10="OKAY"),"OKAY","NOT OKAY")))</f>
        <v/>
      </c>
      <c r="M60" s="18"/>
      <c r="N60" s="18"/>
      <c r="O60" s="18"/>
      <c r="P60" s="18"/>
      <c r="Q60" s="18"/>
      <c r="R60" s="18"/>
      <c r="S60" s="18"/>
      <c r="T60" s="18"/>
    </row>
    <row r="61" spans="1:20" ht="46.05" customHeight="1">
      <c r="A61" s="235" t="str">
        <f>IF(OR($A$11="",$C$11="",$T$11=""),"",$A$11&amp;" "&amp;TEXT($T$11*1000,"0.###")&amp;" × "&amp;TEXT($C$11,"0.###")&amp;" mm dp.")</f>
        <v/>
      </c>
      <c r="B61" s="450" t="str">
        <f>IF($A$11="","",IF(OR($X$11="",$Y$11="",$Y$11="INPUT REQUIRED"),"INPUT REQUIRED","Span / Depth = "&amp;TEXT($B$11*1000,"0.###")&amp;"/"&amp;TEXT($C$11,"0.###")&amp;IF(AND($B$11&gt;10.001,$U$11&lt;&gt;"Cantilever")," × "&amp;TEXT($B$11,"0.000")&amp;"/10","")&amp;" = "&amp;TEXT($V$11,"0.00")&amp;IF($V$11&lt;=$W$11," &lt; "," &gt; ")&amp;TEXT($W$11,"0.00")&amp;" ("&amp;$X$11&amp;")"&amp;IF($V$11&gt;$W$11,CHAR(10)&amp;"Actual deflection will be checked in Section B.","")&amp;CHAR(10)&amp;"P calculation: "&amp;IF($D$11="","","P1 = "&amp;$D$11&amp;" total = "&amp;TEXT($E$11,"#,##0.00")&amp;" kN; ")&amp;IF($G$11="","","P2 = "&amp;$G$11&amp;" total = "&amp;TEXT($H$11,"#,##0.00")&amp;" kN; ")&amp;IF($J$11="","","P3 = "&amp;$J$11&amp;" total = "&amp;TEXT($K$11,"#,##0.00")&amp;" kN; ")&amp;IF($M$11="","","P4 = "&amp;$M$11&amp;" total = "&amp;TEXT($N$11,"#,##0.00")&amp;" kN; ")&amp;IF($P$11="","","P5 = "&amp;$P$11&amp;" total = "&amp;TEXT($Q$11,"#,##0.00")&amp;" kN; ")&amp;CHAR(10)&amp;"Loads"&amp;IF($E$11="","","; P1="&amp;TEXT($E$11,"0.00")&amp;" kN @ a1="&amp;TEXT($F$11,"0.000")&amp;" m (b1="&amp;TEXT($B$11-$F$11,"0.000")&amp;" m)")&amp;IF($H$11="","","; P2="&amp;TEXT($H$11,"0.00")&amp;" kN @ a2="&amp;TEXT($I$11,"0.000")&amp;" m (b2="&amp;TEXT($B$11-$I$11,"0.000")&amp;" m)")&amp;IF($K$11="","","; P3="&amp;TEXT($K$11,"0.00")&amp;" kN @ a3="&amp;TEXT($L$11,"0.000")&amp;" m (b3="&amp;TEXT($B$11-$L$11,"0.000")&amp;" m)")&amp;IF($N$11="","","; P4="&amp;TEXT($N$11,"0.00")&amp;" kN @ a4="&amp;TEXT($O$11,"0.000")&amp;" m (b4="&amp;TEXT($B$11-$O$11,"0.000")&amp;" m)")&amp;IF($Q$11="","","; P5="&amp;TEXT($Q$11,"0.00")&amp;" kN @ a5="&amp;TEXT($R$11,"0.000")&amp;" m (b5="&amp;TEXT($B$11-$R$11,"0.000")&amp;" m)")&amp;"; w="&amp;TEXT($S$11,"0.00")&amp;" kN/m"&amp;IF(L34="OK",CHAR(10)&amp;"UDL = "&amp;TEXT(C34,"0.00")&amp;" x "&amp;TEXT(D34,"0.00")&amp;" x (1.4 x "&amp;"("&amp;TEXT(E34,"0.00")&amp;" + "&amp;TEXT(N(F34),"0.00")&amp;")"&amp;" + 1.6 x "&amp;TEXT(G34,"0.00")&amp;") / "&amp;TEXT(I34,"0.00")&amp;" = "&amp;TEXT(K34,"0.00")&amp;" kN/m (additional floor load)","")&amp;CHAR(10)&amp;"V_L = wL/2 + Σ(P_i·b_i/L) = "&amp;TEXT($AF$32,"0.00")&amp;" kN; V_R = wL/2 + Σ(P_i·a_i/L) = "&amp;TEXT($AG$32,"0.00")&amp;" kN"&amp;CHAR(10)&amp;"Vult = MAX(V_L,V_R) = "&amp;TEXT($AH$32,"0.00")&amp;" kN; v = Vult/(bw × 0.9d) = "&amp;TEXT($AI$32,"0.00")&amp;" N/mm²"&amp;IF($AI$32&lt;=$AJ$32," &lt; "," &gt; ")&amp;"0.8√fcu = "&amp;TEXT($AJ$32,"0.00")&amp;" N/mm² ("&amp;$Y$11&amp;")"))</f>
        <v/>
      </c>
      <c r="C61" s="450"/>
      <c r="D61" s="450"/>
      <c r="E61" s="450"/>
      <c r="F61" s="450"/>
      <c r="G61" s="450"/>
      <c r="H61" s="450"/>
      <c r="I61" s="450"/>
      <c r="J61" s="450"/>
      <c r="K61" s="450"/>
      <c r="L61" s="201" t="str">
        <f>IF($A$11="","",IF(OR($X$11="",$Y$11="",$Y$11="INPUT REQUIRED"),"INPUT REQUIRED",IF(AND($X$11="OKAY",$Y$11="OKAY"),"OKAY","NOT OKAY")))</f>
        <v/>
      </c>
      <c r="M61" s="18"/>
      <c r="N61" s="18"/>
      <c r="O61" s="18"/>
      <c r="P61" s="18"/>
      <c r="Q61" s="18"/>
      <c r="R61" s="18"/>
      <c r="S61" s="18"/>
      <c r="T61" s="18"/>
    </row>
    <row r="62" spans="1:20" ht="46.05" customHeight="1">
      <c r="A62" s="235" t="str">
        <f>IF(OR($A$12="",$C$12="",$T$12=""),"",$A$12&amp;" "&amp;TEXT($T$12*1000,"0.###")&amp;" × "&amp;TEXT($C$12,"0.###")&amp;" mm dp.")</f>
        <v/>
      </c>
      <c r="B62" s="450" t="str">
        <f>IF($A$12="","",IF(OR($X$12="",$Y$12="",$Y$12="INPUT REQUIRED"),"INPUT REQUIRED","Span / Depth = "&amp;TEXT($B$12*1000,"0.###")&amp;"/"&amp;TEXT($C$12,"0.###")&amp;IF(AND($B$12&gt;10.001,$U$12&lt;&gt;"Cantilever")," × "&amp;TEXT($B$12,"0.000")&amp;"/10","")&amp;" = "&amp;TEXT($V$12,"0.00")&amp;IF($V$12&lt;=$W$12," &lt; "," &gt; ")&amp;TEXT($W$12,"0.00")&amp;" ("&amp;$X$12&amp;")"&amp;IF($V$12&gt;$W$12,CHAR(10)&amp;"Actual deflection will be checked in Section B.","")&amp;CHAR(10)&amp;"P calculation: "&amp;IF($D$12="","","P1 = "&amp;$D$12&amp;" total = "&amp;TEXT($E$12,"#,##0.00")&amp;" kN; ")&amp;IF($G$12="","","P2 = "&amp;$G$12&amp;" total = "&amp;TEXT($H$12,"#,##0.00")&amp;" kN; ")&amp;IF($J$12="","","P3 = "&amp;$J$12&amp;" total = "&amp;TEXT($K$12,"#,##0.00")&amp;" kN; ")&amp;IF($M$12="","","P4 = "&amp;$M$12&amp;" total = "&amp;TEXT($N$12,"#,##0.00")&amp;" kN; ")&amp;IF($P$12="","","P5 = "&amp;$P$12&amp;" total = "&amp;TEXT($Q$12,"#,##0.00")&amp;" kN; ")&amp;CHAR(10)&amp;"Loads"&amp;IF($E$12="","","; P1="&amp;TEXT($E$12,"0.00")&amp;" kN @ a1="&amp;TEXT($F$12,"0.000")&amp;" m (b1="&amp;TEXT($B$12-$F$12,"0.000")&amp;" m)")&amp;IF($H$12="","","; P2="&amp;TEXT($H$12,"0.00")&amp;" kN @ a2="&amp;TEXT($I$12,"0.000")&amp;" m (b2="&amp;TEXT($B$12-$I$12,"0.000")&amp;" m)")&amp;IF($K$12="","","; P3="&amp;TEXT($K$12,"0.00")&amp;" kN @ a3="&amp;TEXT($L$12,"0.000")&amp;" m (b3="&amp;TEXT($B$12-$L$12,"0.000")&amp;" m)")&amp;IF($N$12="","","; P4="&amp;TEXT($N$12,"0.00")&amp;" kN @ a4="&amp;TEXT($O$12,"0.000")&amp;" m (b4="&amp;TEXT($B$12-$O$12,"0.000")&amp;" m)")&amp;IF($Q$12="","","; P5="&amp;TEXT($Q$12,"0.00")&amp;" kN @ a5="&amp;TEXT($R$12,"0.000")&amp;" m (b5="&amp;TEXT($B$12-$R$12,"0.000")&amp;" m)")&amp;"; w="&amp;TEXT($S$12,"0.00")&amp;" kN/m"&amp;IF(L35="OK",CHAR(10)&amp;"UDL = "&amp;TEXT(C35,"0.00")&amp;" x "&amp;TEXT(D35,"0.00")&amp;" x (1.4 x "&amp;"("&amp;TEXT(E35,"0.00")&amp;" + "&amp;TEXT(N(F35),"0.00")&amp;")"&amp;" + 1.6 x "&amp;TEXT(G35,"0.00")&amp;") / "&amp;TEXT(I35,"0.00")&amp;" = "&amp;TEXT(K35,"0.00")&amp;" kN/m (additional floor load)","")&amp;CHAR(10)&amp;"V_L = wL/2 + Σ(P_i·b_i/L) = "&amp;TEXT($AF$33,"0.00")&amp;" kN; V_R = wL/2 + Σ(P_i·a_i/L) = "&amp;TEXT($AG$33,"0.00")&amp;" kN"&amp;CHAR(10)&amp;"Vult = MAX(V_L,V_R) = "&amp;TEXT($AH$33,"0.00")&amp;" kN; v = Vult/(bw × 0.9d) = "&amp;TEXT($AI$33,"0.00")&amp;" N/mm²"&amp;IF($AI$33&lt;=$AJ$33," &lt; "," &gt; ")&amp;"0.8√fcu = "&amp;TEXT($AJ$33,"0.00")&amp;" N/mm² ("&amp;$Y$12&amp;")"))</f>
        <v/>
      </c>
      <c r="C62" s="450"/>
      <c r="D62" s="450"/>
      <c r="E62" s="450"/>
      <c r="F62" s="450"/>
      <c r="G62" s="450"/>
      <c r="H62" s="450"/>
      <c r="I62" s="450"/>
      <c r="J62" s="450"/>
      <c r="K62" s="450"/>
      <c r="L62" s="201" t="str">
        <f>IF($A$12="","",IF(OR($X$12="",$Y$12="",$Y$12="INPUT REQUIRED"),"INPUT REQUIRED",IF(AND($X$12="OKAY",$Y$12="OKAY"),"OKAY","NOT OKAY")))</f>
        <v/>
      </c>
      <c r="M62" s="18"/>
      <c r="N62" s="18"/>
      <c r="O62" s="18"/>
      <c r="P62" s="18"/>
      <c r="Q62" s="18"/>
      <c r="R62" s="18"/>
      <c r="S62" s="18"/>
      <c r="T62" s="18"/>
    </row>
    <row r="63" spans="1:20" ht="22.05" customHeight="1">
      <c r="A63" s="235" t="str">
        <f>IF(OR($A$13="",$C$13="",$T$13=""),"",$A$13&amp;" "&amp;TEXT($T$13*1000,"0.###")&amp;" × "&amp;TEXT($C$13,"0.###")&amp;" mm dp.")</f>
        <v/>
      </c>
      <c r="B63" s="450" t="str">
        <f>IF($A$13="","",IF(OR($X$13="",$Y$13="",$Y$13="INPUT REQUIRED"),"INPUT REQUIRED","Span / Depth = "&amp;TEXT($B$13*1000,"0.###")&amp;"/"&amp;TEXT($C$13,"0.###")&amp;IF(AND($B$13&gt;10.001,$U$13&lt;&gt;"Cantilever")," × "&amp;TEXT($B$13,"0.000")&amp;"/10","")&amp;" = "&amp;TEXT($V$13,"0.00")&amp;IF($V$13&lt;=$W$13," &lt; "," &gt; ")&amp;TEXT($W$13,"0.00")&amp;" ("&amp;$X$13&amp;")"&amp;IF($V$13&gt;$W$13,CHAR(10)&amp;"Actual deflection will be checked in Section B.","")&amp;CHAR(10)&amp;"P calculation: "&amp;IF($D$13="","","P1 = "&amp;$D$13&amp;" total = "&amp;TEXT($E$13,"#,##0.00")&amp;" kN; ")&amp;IF($G$13="","","P2 = "&amp;$G$13&amp;" total = "&amp;TEXT($H$13,"#,##0.00")&amp;" kN; ")&amp;IF($J$13="","","P3 = "&amp;$J$13&amp;" total = "&amp;TEXT($K$13,"#,##0.00")&amp;" kN; ")&amp;IF($M$13="","","P4 = "&amp;$M$13&amp;" total = "&amp;TEXT($N$13,"#,##0.00")&amp;" kN; ")&amp;IF($P$13="","","P5 = "&amp;$P$13&amp;" total = "&amp;TEXT($Q$13,"#,##0.00")&amp;" kN; ")&amp;CHAR(10)&amp;"Loads"&amp;IF($E$13="","","; P1="&amp;TEXT($E$13,"0.00")&amp;" kN @ a1="&amp;TEXT($F$13,"0.000")&amp;" m (b1="&amp;TEXT($B$13-$F$13,"0.000")&amp;" m)")&amp;IF($H$13="","","; P2="&amp;TEXT($H$13,"0.00")&amp;" kN @ a2="&amp;TEXT($I$13,"0.000")&amp;" m (b2="&amp;TEXT($B$13-$I$13,"0.000")&amp;" m)")&amp;IF($K$13="","","; P3="&amp;TEXT($K$13,"0.00")&amp;" kN @ a3="&amp;TEXT($L$13,"0.000")&amp;" m (b3="&amp;TEXT($B$13-$L$13,"0.000")&amp;" m)")&amp;IF($N$13="","","; P4="&amp;TEXT($N$13,"0.00")&amp;" kN @ a4="&amp;TEXT($O$13,"0.000")&amp;" m (b4="&amp;TEXT($B$13-$O$13,"0.000")&amp;" m)")&amp;IF($Q$13="","","; P5="&amp;TEXT($Q$13,"0.00")&amp;" kN @ a5="&amp;TEXT($R$13,"0.000")&amp;" m (b5="&amp;TEXT($B$13-$R$13,"0.000")&amp;" m)")&amp;"; w="&amp;TEXT($S$13,"0.00")&amp;" kN/m"&amp;IF(L36="OK",CHAR(10)&amp;"UDL = "&amp;TEXT(C36,"0.00")&amp;" x "&amp;TEXT(D36,"0.00")&amp;" x (1.4 x "&amp;"("&amp;TEXT(E36,"0.00")&amp;" + "&amp;TEXT(N(F36),"0.00")&amp;")"&amp;" + 1.6 x "&amp;TEXT(G36,"0.00")&amp;") / "&amp;TEXT(I36,"0.00")&amp;" = "&amp;TEXT(K36,"0.00")&amp;" kN/m (additional floor load)","")&amp;CHAR(10)&amp;"V_L = wL/2 + Σ(P_i·b_i/L) = "&amp;TEXT($AF$34,"0.00")&amp;" kN; V_R = wL/2 + Σ(P_i·a_i/L) = "&amp;TEXT($AG$34,"0.00")&amp;" kN"&amp;CHAR(10)&amp;"Vult = MAX(V_L,V_R) = "&amp;TEXT($AH$34,"0.00")&amp;" kN; v = Vult/(bw × 0.9d) = "&amp;TEXT($AI$34,"0.00")&amp;" N/mm²"&amp;IF($AI$34&lt;=$AJ$34," &lt; "," &gt; ")&amp;"0.8√fcu = "&amp;TEXT($AJ$34,"0.00")&amp;" N/mm² ("&amp;$Y$13&amp;")"))</f>
        <v/>
      </c>
      <c r="C63" s="450"/>
      <c r="D63" s="450"/>
      <c r="E63" s="450"/>
      <c r="F63" s="450"/>
      <c r="G63" s="450"/>
      <c r="H63" s="450"/>
      <c r="I63" s="450"/>
      <c r="J63" s="450"/>
      <c r="K63" s="450"/>
      <c r="L63" s="201" t="str">
        <f>IF($A$13="","",IF(OR($X$13="",$Y$13="",$Y$13="INPUT REQUIRED"),"INPUT REQUIRED",IF(AND($X$13="OKAY",$Y$13="OKAY"),"OKAY","NOT OKAY")))</f>
        <v/>
      </c>
      <c r="M63" s="18"/>
      <c r="N63" s="18"/>
      <c r="O63" s="18"/>
      <c r="P63" s="18"/>
      <c r="Q63" s="18"/>
      <c r="R63" s="18"/>
      <c r="S63" s="18"/>
      <c r="T63" s="18"/>
    </row>
    <row r="64" spans="1:20" ht="22.05" customHeight="1">
      <c r="A64" s="235" t="str">
        <f>IF(OR($A$14="",$C$14="",$T$14=""),"",$A$14&amp;" "&amp;TEXT($T$14*1000,"0.###")&amp;" × "&amp;TEXT($C$14,"0.###")&amp;" mm dp.")</f>
        <v/>
      </c>
      <c r="B64" s="450" t="str">
        <f>IF($A$14="","",IF(OR($X$14="",$Y$14="",$Y$14="INPUT REQUIRED"),"INPUT REQUIRED","Span / Depth = "&amp;TEXT($B$14*1000,"0.###")&amp;"/"&amp;TEXT($C$14,"0.###")&amp;IF(AND($B$14&gt;10.001,$U$14&lt;&gt;"Cantilever")," × "&amp;TEXT($B$14,"0.000")&amp;"/10","")&amp;" = "&amp;TEXT($V$14,"0.00")&amp;IF($V$14&lt;=$W$14," &lt; "," &gt; ")&amp;TEXT($W$14,"0.00")&amp;" ("&amp;$X$14&amp;")"&amp;IF($V$14&gt;$W$14,CHAR(10)&amp;"Actual deflection will be checked in Section B.","")&amp;CHAR(10)&amp;"P calculation: "&amp;IF($D$14="","","P1 = "&amp;$D$14&amp;" total = "&amp;TEXT($E$14,"#,##0.00")&amp;" kN; ")&amp;IF($G$14="","","P2 = "&amp;$G$14&amp;" total = "&amp;TEXT($H$14,"#,##0.00")&amp;" kN; ")&amp;IF($J$14="","","P3 = "&amp;$J$14&amp;" total = "&amp;TEXT($K$14,"#,##0.00")&amp;" kN; ")&amp;IF($M$14="","","P4 = "&amp;$M$14&amp;" total = "&amp;TEXT($N$14,"#,##0.00")&amp;" kN; ")&amp;IF($P$14="","","P5 = "&amp;$P$14&amp;" total = "&amp;TEXT($Q$14,"#,##0.00")&amp;" kN; ")&amp;CHAR(10)&amp;"Loads"&amp;IF($E$14="","","; P1="&amp;TEXT($E$14,"0.00")&amp;" kN @ a1="&amp;TEXT($F$14,"0.000")&amp;" m (b1="&amp;TEXT($B$14-$F$14,"0.000")&amp;" m)")&amp;IF($H$14="","","; P2="&amp;TEXT($H$14,"0.00")&amp;" kN @ a2="&amp;TEXT($I$14,"0.000")&amp;" m (b2="&amp;TEXT($B$14-$I$14,"0.000")&amp;" m)")&amp;IF($K$14="","","; P3="&amp;TEXT($K$14,"0.00")&amp;" kN @ a3="&amp;TEXT($L$14,"0.000")&amp;" m (b3="&amp;TEXT($B$14-$L$14,"0.000")&amp;" m)")&amp;IF($N$14="","","; P4="&amp;TEXT($N$14,"0.00")&amp;" kN @ a4="&amp;TEXT($O$14,"0.000")&amp;" m (b4="&amp;TEXT($B$14-$O$14,"0.000")&amp;" m)")&amp;IF($Q$14="","","; P5="&amp;TEXT($Q$14,"0.00")&amp;" kN @ a5="&amp;TEXT($R$14,"0.000")&amp;" m (b5="&amp;TEXT($B$14-$R$14,"0.000")&amp;" m)")&amp;"; w="&amp;TEXT($S$14,"0.00")&amp;" kN/m"&amp;IF(L37="OK",CHAR(10)&amp;"UDL = "&amp;TEXT(C37,"0.00")&amp;" x "&amp;TEXT(D37,"0.00")&amp;" x (1.4 x "&amp;"("&amp;TEXT(E37,"0.00")&amp;" + "&amp;TEXT(N(F37),"0.00")&amp;")"&amp;" + 1.6 x "&amp;TEXT(G37,"0.00")&amp;") / "&amp;TEXT(I37,"0.00")&amp;" = "&amp;TEXT(K37,"0.00")&amp;" kN/m (additional floor load)","")&amp;CHAR(10)&amp;"V_L = wL/2 + Σ(P_i·b_i/L) = "&amp;TEXT($AF$35,"0.00")&amp;" kN; V_R = wL/2 + Σ(P_i·a_i/L) = "&amp;TEXT($AG$35,"0.00")&amp;" kN"&amp;CHAR(10)&amp;"Vult = MAX(V_L,V_R) = "&amp;TEXT($AH$35,"0.00")&amp;" kN; v = Vult/(bw × 0.9d) = "&amp;TEXT($AI$35,"0.00")&amp;" N/mm²"&amp;IF($AI$35&lt;=$AJ$35," &lt; "," &gt; ")&amp;"0.8√fcu = "&amp;TEXT($AJ$35,"0.00")&amp;" N/mm² ("&amp;$Y$14&amp;")"))</f>
        <v/>
      </c>
      <c r="C64" s="450"/>
      <c r="D64" s="450"/>
      <c r="E64" s="450"/>
      <c r="F64" s="450"/>
      <c r="G64" s="450"/>
      <c r="H64" s="450"/>
      <c r="I64" s="450"/>
      <c r="J64" s="450"/>
      <c r="K64" s="450"/>
      <c r="L64" s="201" t="str">
        <f>IF($A$14="","",IF(OR($X$14="",$Y$14="",$Y$14="INPUT REQUIRED"),"INPUT REQUIRED",IF(AND($X$14="OKAY",$Y$14="OKAY"),"OKAY","NOT OKAY")))</f>
        <v/>
      </c>
      <c r="M64" s="18"/>
      <c r="N64" s="18"/>
      <c r="O64" s="18"/>
      <c r="P64" s="18"/>
      <c r="Q64" s="18"/>
      <c r="R64" s="18"/>
      <c r="S64" s="18"/>
      <c r="T64" s="18"/>
    </row>
    <row r="65" spans="1:20" ht="22.05" customHeight="1">
      <c r="A65" s="235" t="str">
        <f>IF(OR($A$15="",$C$15="",$T$15=""),"",$A$15&amp;" "&amp;TEXT($T$15*1000,"0.###")&amp;" × "&amp;TEXT($C$15,"0.###")&amp;" mm dp.")</f>
        <v/>
      </c>
      <c r="B65" s="450" t="str">
        <f>IF($A$15="","",IF(OR($X$15="",$Y$15="",$Y$15="INPUT REQUIRED"),"INPUT REQUIRED","Span / Depth = "&amp;TEXT($B$15*1000,"0.###")&amp;"/"&amp;TEXT($C$15,"0.###")&amp;IF(AND($B$15&gt;10.001,$U$15&lt;&gt;"Cantilever")," × "&amp;TEXT($B$15,"0.000")&amp;"/10","")&amp;" = "&amp;TEXT($V$15,"0.00")&amp;IF($V$15&lt;=$W$15," &lt; "," &gt; ")&amp;TEXT($W$15,"0.00")&amp;" ("&amp;$X$15&amp;")"&amp;IF($V$15&gt;$W$15,CHAR(10)&amp;"Actual deflection will be checked in Section B.","")&amp;CHAR(10)&amp;"P calculation: "&amp;IF($D$15="","","P1 = "&amp;$D$15&amp;" total = "&amp;TEXT($E$15,"#,##0.00")&amp;" kN; ")&amp;IF($G$15="","","P2 = "&amp;$G$15&amp;" total = "&amp;TEXT($H$15,"#,##0.00")&amp;" kN; ")&amp;IF($J$15="","","P3 = "&amp;$J$15&amp;" total = "&amp;TEXT($K$15,"#,##0.00")&amp;" kN; ")&amp;IF($M$15="","","P4 = "&amp;$M$15&amp;" total = "&amp;TEXT($N$15,"#,##0.00")&amp;" kN; ")&amp;IF($P$15="","","P5 = "&amp;$P$15&amp;" total = "&amp;TEXT($Q$15,"#,##0.00")&amp;" kN; ")&amp;CHAR(10)&amp;"Loads"&amp;IF($E$15="","","; P1="&amp;TEXT($E$15,"0.00")&amp;" kN @ a1="&amp;TEXT($F$15,"0.000")&amp;" m (b1="&amp;TEXT($B$15-$F$15,"0.000")&amp;" m)")&amp;IF($H$15="","","; P2="&amp;TEXT($H$15,"0.00")&amp;" kN @ a2="&amp;TEXT($I$15,"0.000")&amp;" m (b2="&amp;TEXT($B$15-$I$15,"0.000")&amp;" m)")&amp;IF($K$15="","","; P3="&amp;TEXT($K$15,"0.00")&amp;" kN @ a3="&amp;TEXT($L$15,"0.000")&amp;" m (b3="&amp;TEXT($B$15-$L$15,"0.000")&amp;" m)")&amp;IF($N$15="","","; P4="&amp;TEXT($N$15,"0.00")&amp;" kN @ a4="&amp;TEXT($O$15,"0.000")&amp;" m (b4="&amp;TEXT($B$15-$O$15,"0.000")&amp;" m)")&amp;IF($Q$15="","","; P5="&amp;TEXT($Q$15,"0.00")&amp;" kN @ a5="&amp;TEXT($R$15,"0.000")&amp;" m (b5="&amp;TEXT($B$15-$R$15,"0.000")&amp;" m)")&amp;"; w="&amp;TEXT($S$15,"0.00")&amp;" kN/m"&amp;IF(L38="OK",CHAR(10)&amp;"UDL = "&amp;TEXT(C38,"0.00")&amp;" x "&amp;TEXT(D38,"0.00")&amp;" x (1.4 x "&amp;"("&amp;TEXT(E38,"0.00")&amp;" + "&amp;TEXT(N(F38),"0.00")&amp;")"&amp;" + 1.6 x "&amp;TEXT(G38,"0.00")&amp;") / "&amp;TEXT(I38,"0.00")&amp;" = "&amp;TEXT(K38,"0.00")&amp;" kN/m (additional floor load)","")&amp;CHAR(10)&amp;"V_L = wL/2 + Σ(P_i·b_i/L) = "&amp;TEXT($AF$36,"0.00")&amp;" kN; V_R = wL/2 + Σ(P_i·a_i/L) = "&amp;TEXT($AG$36,"0.00")&amp;" kN"&amp;CHAR(10)&amp;"Vult = MAX(V_L,V_R) = "&amp;TEXT($AH$36,"0.00")&amp;" kN; v = Vult/(bw × 0.9d) = "&amp;TEXT($AI$36,"0.00")&amp;" N/mm²"&amp;IF($AI$36&lt;=$AJ$36," &lt; "," &gt; ")&amp;"0.8√fcu = "&amp;TEXT($AJ$36,"0.00")&amp;" N/mm² ("&amp;$Y$15&amp;")"))</f>
        <v/>
      </c>
      <c r="C65" s="450"/>
      <c r="D65" s="450"/>
      <c r="E65" s="450"/>
      <c r="F65" s="450"/>
      <c r="G65" s="450"/>
      <c r="H65" s="450"/>
      <c r="I65" s="450"/>
      <c r="J65" s="450"/>
      <c r="K65" s="450"/>
      <c r="L65" s="201" t="str">
        <f>IF($A$15="","",IF(OR($X$15="",$Y$15="",$Y$15="INPUT REQUIRED"),"INPUT REQUIRED",IF(AND($X$15="OKAY",$Y$15="OKAY"),"OKAY","NOT OKAY")))</f>
        <v/>
      </c>
      <c r="M65" s="18"/>
      <c r="N65" s="18"/>
      <c r="O65" s="18"/>
      <c r="P65" s="18"/>
      <c r="Q65" s="18"/>
      <c r="R65" s="18"/>
      <c r="S65" s="18"/>
      <c r="T65" s="18"/>
    </row>
    <row r="66" spans="1:20" ht="22.05" customHeight="1">
      <c r="A66" s="235" t="str">
        <f>IF(OR($A$16="",$C$16="",$T$16=""),"",$A$16&amp;" "&amp;TEXT($T$16*1000,"0.###")&amp;" × "&amp;TEXT($C$16,"0.###")&amp;" mm dp.")</f>
        <v/>
      </c>
      <c r="B66" s="450" t="str">
        <f>IF($A$16="","",IF(OR($X$16="",$Y$16="",$Y$16="INPUT REQUIRED"),"INPUT REQUIRED","Span / Depth = "&amp;TEXT($B$16*1000,"0.###")&amp;"/"&amp;TEXT($C$16,"0.###")&amp;IF(AND($B$16&gt;10.001,$U$16&lt;&gt;"Cantilever")," × "&amp;TEXT($B$16,"0.000")&amp;"/10","")&amp;" = "&amp;TEXT($V$16,"0.00")&amp;IF($V$16&lt;=$W$16," &lt; "," &gt; ")&amp;TEXT($W$16,"0.00")&amp;" ("&amp;$X$16&amp;")"&amp;IF($V$16&gt;$W$16,CHAR(10)&amp;"Actual deflection will be checked in Section B.","")&amp;CHAR(10)&amp;"P calculation: "&amp;IF($D$16="","","P1 = "&amp;$D$16&amp;" total = "&amp;TEXT($E$16,"#,##0.00")&amp;" kN; ")&amp;IF($G$16="","","P2 = "&amp;$G$16&amp;" total = "&amp;TEXT($H$16,"#,##0.00")&amp;" kN; ")&amp;IF($J$16="","","P3 = "&amp;$J$16&amp;" total = "&amp;TEXT($K$16,"#,##0.00")&amp;" kN; ")&amp;IF($M$16="","","P4 = "&amp;$M$16&amp;" total = "&amp;TEXT($N$16,"#,##0.00")&amp;" kN; ")&amp;IF($P$16="","","P5 = "&amp;$P$16&amp;" total = "&amp;TEXT($Q$16,"#,##0.00")&amp;" kN; ")&amp;CHAR(10)&amp;"Loads"&amp;IF($E$16="","","; P1="&amp;TEXT($E$16,"0.00")&amp;" kN @ a1="&amp;TEXT($F$16,"0.000")&amp;" m (b1="&amp;TEXT($B$16-$F$16,"0.000")&amp;" m)")&amp;IF($H$16="","","; P2="&amp;TEXT($H$16,"0.00")&amp;" kN @ a2="&amp;TEXT($I$16,"0.000")&amp;" m (b2="&amp;TEXT($B$16-$I$16,"0.000")&amp;" m)")&amp;IF($K$16="","","; P3="&amp;TEXT($K$16,"0.00")&amp;" kN @ a3="&amp;TEXT($L$16,"0.000")&amp;" m (b3="&amp;TEXT($B$16-$L$16,"0.000")&amp;" m)")&amp;IF($N$16="","","; P4="&amp;TEXT($N$16,"0.00")&amp;" kN @ a4="&amp;TEXT($O$16,"0.000")&amp;" m (b4="&amp;TEXT($B$16-$O$16,"0.000")&amp;" m)")&amp;IF($Q$16="","","; P5="&amp;TEXT($Q$16,"0.00")&amp;" kN @ a5="&amp;TEXT($R$16,"0.000")&amp;" m (b5="&amp;TEXT($B$16-$R$16,"0.000")&amp;" m)")&amp;"; w="&amp;TEXT($S$16,"0.00")&amp;" kN/m"&amp;IF(L39="OK",CHAR(10)&amp;"UDL = "&amp;TEXT(C39,"0.00")&amp;" x "&amp;TEXT(D39,"0.00")&amp;" x (1.4 x "&amp;"("&amp;TEXT(E39,"0.00")&amp;" + "&amp;TEXT(N(F39),"0.00")&amp;")"&amp;" + 1.6 x "&amp;TEXT(G39,"0.00")&amp;") / "&amp;TEXT(I39,"0.00")&amp;" = "&amp;TEXT(K39,"0.00")&amp;" kN/m (additional floor load)","")&amp;CHAR(10)&amp;"V_L = wL/2 + Σ(P_i·b_i/L) = "&amp;TEXT($AF$37,"0.00")&amp;" kN; V_R = wL/2 + Σ(P_i·a_i/L) = "&amp;TEXT($AG$37,"0.00")&amp;" kN"&amp;CHAR(10)&amp;"Vult = MAX(V_L,V_R) = "&amp;TEXT($AH$37,"0.00")&amp;" kN; v = Vult/(bw × 0.9d) = "&amp;TEXT($AI$37,"0.00")&amp;" N/mm²"&amp;IF($AI$37&lt;=$AJ$37," &lt; "," &gt; ")&amp;"0.8√fcu = "&amp;TEXT($AJ$37,"0.00")&amp;" N/mm² ("&amp;$Y$16&amp;")"))</f>
        <v/>
      </c>
      <c r="C66" s="450"/>
      <c r="D66" s="450"/>
      <c r="E66" s="450"/>
      <c r="F66" s="450"/>
      <c r="G66" s="450"/>
      <c r="H66" s="450"/>
      <c r="I66" s="450"/>
      <c r="J66" s="450"/>
      <c r="K66" s="450"/>
      <c r="L66" s="201" t="str">
        <f>IF($A$16="","",IF(OR($X$16="",$Y$16="",$Y$16="INPUT REQUIRED"),"INPUT REQUIRED",IF(AND($X$16="OKAY",$Y$16="OKAY"),"OKAY","NOT OKAY")))</f>
        <v/>
      </c>
      <c r="M66" s="18"/>
      <c r="N66" s="18"/>
      <c r="O66" s="18"/>
      <c r="P66" s="18"/>
      <c r="Q66" s="18"/>
      <c r="R66" s="18"/>
      <c r="S66" s="18"/>
      <c r="T66" s="18"/>
    </row>
    <row r="67" spans="1:20" ht="22.05" customHeight="1">
      <c r="A67" s="235" t="str">
        <f>IF(OR($A$17="",$C$17="",$T$17=""),"",$A$17&amp;" "&amp;TEXT($T$17*1000,"0.###")&amp;" × "&amp;TEXT($C$17,"0.###")&amp;" mm dp.")</f>
        <v/>
      </c>
      <c r="B67" s="450" t="str">
        <f>IF($A$17="","",IF(OR($X$17="",$Y$17="",$Y$17="INPUT REQUIRED"),"INPUT REQUIRED","Span / Depth = "&amp;TEXT($B$17*1000,"0.###")&amp;"/"&amp;TEXT($C$17,"0.###")&amp;IF(AND($B$17&gt;10.001,$U$17&lt;&gt;"Cantilever")," × "&amp;TEXT($B$17,"0.000")&amp;"/10","")&amp;" = "&amp;TEXT($V$17,"0.00")&amp;IF($V$17&lt;=$W$17," &lt; "," &gt; ")&amp;TEXT($W$17,"0.00")&amp;" ("&amp;$X$17&amp;")"&amp;IF($V$17&gt;$W$17,CHAR(10)&amp;"Actual deflection will be checked in Section B.","")&amp;CHAR(10)&amp;"P calculation: "&amp;IF($D$17="","","P1 = "&amp;$D$17&amp;" total = "&amp;TEXT($E$17,"#,##0.00")&amp;" kN; ")&amp;IF($G$17="","","P2 = "&amp;$G$17&amp;" total = "&amp;TEXT($H$17,"#,##0.00")&amp;" kN; ")&amp;IF($J$17="","","P3 = "&amp;$J$17&amp;" total = "&amp;TEXT($K$17,"#,##0.00")&amp;" kN; ")&amp;IF($M$17="","","P4 = "&amp;$M$17&amp;" total = "&amp;TEXT($N$17,"#,##0.00")&amp;" kN; ")&amp;IF($P$17="","","P5 = "&amp;$P$17&amp;" total = "&amp;TEXT($Q$17,"#,##0.00")&amp;" kN; ")&amp;CHAR(10)&amp;"Loads"&amp;IF($E$17="","","; P1="&amp;TEXT($E$17,"0.00")&amp;" kN @ a1="&amp;TEXT($F$17,"0.000")&amp;" m (b1="&amp;TEXT($B$17-$F$17,"0.000")&amp;" m)")&amp;IF($H$17="","","; P2="&amp;TEXT($H$17,"0.00")&amp;" kN @ a2="&amp;TEXT($I$17,"0.000")&amp;" m (b2="&amp;TEXT($B$17-$I$17,"0.000")&amp;" m)")&amp;IF($K$17="","","; P3="&amp;TEXT($K$17,"0.00")&amp;" kN @ a3="&amp;TEXT($L$17,"0.000")&amp;" m (b3="&amp;TEXT($B$17-$L$17,"0.000")&amp;" m)")&amp;IF($N$17="","","; P4="&amp;TEXT($N$17,"0.00")&amp;" kN @ a4="&amp;TEXT($O$17,"0.000")&amp;" m (b4="&amp;TEXT($B$17-$O$17,"0.000")&amp;" m)")&amp;IF($Q$17="","","; P5="&amp;TEXT($Q$17,"0.00")&amp;" kN @ a5="&amp;TEXT($R$17,"0.000")&amp;" m (b5="&amp;TEXT($B$17-$R$17,"0.000")&amp;" m)")&amp;"; w="&amp;TEXT($S$17,"0.00")&amp;" kN/m"&amp;IF(L40="OK",CHAR(10)&amp;"UDL = "&amp;TEXT(C40,"0.00")&amp;" x "&amp;TEXT(D40,"0.00")&amp;" x (1.4 x "&amp;"("&amp;TEXT(E40,"0.00")&amp;" + "&amp;TEXT(N(F40),"0.00")&amp;")"&amp;" + 1.6 x "&amp;TEXT(G40,"0.00")&amp;") / "&amp;TEXT(I40,"0.00")&amp;" = "&amp;TEXT(K40,"0.00")&amp;" kN/m (additional floor load)","")&amp;CHAR(10)&amp;"V_L = wL/2 + Σ(P_i·b_i/L) = "&amp;TEXT($AF$38,"0.00")&amp;" kN; V_R = wL/2 + Σ(P_i·a_i/L) = "&amp;TEXT($AG$38,"0.00")&amp;" kN"&amp;CHAR(10)&amp;"Vult = MAX(V_L,V_R) = "&amp;TEXT($AH$38,"0.00")&amp;" kN; v = Vult/(bw × 0.9d) = "&amp;TEXT($AI$38,"0.00")&amp;" N/mm²"&amp;IF($AI$38&lt;=$AJ$38," &lt; "," &gt; ")&amp;"0.8√fcu = "&amp;TEXT($AJ$38,"0.00")&amp;" N/mm² ("&amp;$Y$17&amp;")"))</f>
        <v/>
      </c>
      <c r="C67" s="450"/>
      <c r="D67" s="450"/>
      <c r="E67" s="450"/>
      <c r="F67" s="450"/>
      <c r="G67" s="450"/>
      <c r="H67" s="450"/>
      <c r="I67" s="450"/>
      <c r="J67" s="450"/>
      <c r="K67" s="450"/>
      <c r="L67" s="201" t="str">
        <f>IF($A$17="","",IF(OR($X$17="",$Y$17="",$Y$17="INPUT REQUIRED"),"INPUT REQUIRED",IF(AND($X$17="OKAY",$Y$17="OKAY"),"OKAY","NOT OKAY")))</f>
        <v/>
      </c>
      <c r="M67" s="18"/>
      <c r="N67" s="18"/>
      <c r="O67" s="18"/>
      <c r="P67" s="18"/>
      <c r="Q67" s="18"/>
      <c r="R67" s="18"/>
      <c r="S67" s="18"/>
      <c r="T67" s="18"/>
    </row>
    <row r="68" spans="1:20" ht="22.05" customHeight="1">
      <c r="A68" s="235" t="str">
        <f>IF(OR($A$18="",$C$18="",$T$18=""),"",$A$18&amp;" "&amp;TEXT($T$18*1000,"0.###")&amp;" × "&amp;TEXT($C$18,"0.###")&amp;" mm dp.")</f>
        <v/>
      </c>
      <c r="B68" s="450" t="str">
        <f>IF($A$18="","",IF(OR($X$18="",$Y$18="",$Y$18="INPUT REQUIRED"),"INPUT REQUIRED","Span / Depth = "&amp;TEXT($B$18*1000,"0.###")&amp;"/"&amp;TEXT($C$18,"0.###")&amp;IF(AND($B$18&gt;10.001,$U$18&lt;&gt;"Cantilever")," × "&amp;TEXT($B$18,"0.000")&amp;"/10","")&amp;" = "&amp;TEXT($V$18,"0.00")&amp;IF($V$18&lt;=$W$18," &lt; "," &gt; ")&amp;TEXT($W$18,"0.00")&amp;" ("&amp;$X$18&amp;")"&amp;IF($V$18&gt;$W$18,CHAR(10)&amp;"Actual deflection will be checked in Section B.","")&amp;CHAR(10)&amp;"P calculation: "&amp;IF($D$18="","","P1 = "&amp;$D$18&amp;" total = "&amp;TEXT($E$18,"#,##0.00")&amp;" kN; ")&amp;IF($G$18="","","P2 = "&amp;$G$18&amp;" total = "&amp;TEXT($H$18,"#,##0.00")&amp;" kN; ")&amp;IF($J$18="","","P3 = "&amp;$J$18&amp;" total = "&amp;TEXT($K$18,"#,##0.00")&amp;" kN; ")&amp;IF($M$18="","","P4 = "&amp;$M$18&amp;" total = "&amp;TEXT($N$18,"#,##0.00")&amp;" kN; ")&amp;IF($P$18="","","P5 = "&amp;$P$18&amp;" total = "&amp;TEXT($Q$18,"#,##0.00")&amp;" kN; ")&amp;CHAR(10)&amp;"Loads"&amp;IF($E$18="","","; P1="&amp;TEXT($E$18,"0.00")&amp;" kN @ a1="&amp;TEXT($F$18,"0.000")&amp;" m (b1="&amp;TEXT($B$18-$F$18,"0.000")&amp;" m)")&amp;IF($H$18="","","; P2="&amp;TEXT($H$18,"0.00")&amp;" kN @ a2="&amp;TEXT($I$18,"0.000")&amp;" m (b2="&amp;TEXT($B$18-$I$18,"0.000")&amp;" m)")&amp;IF($K$18="","","; P3="&amp;TEXT($K$18,"0.00")&amp;" kN @ a3="&amp;TEXT($L$18,"0.000")&amp;" m (b3="&amp;TEXT($B$18-$L$18,"0.000")&amp;" m)")&amp;IF($N$18="","","; P4="&amp;TEXT($N$18,"0.00")&amp;" kN @ a4="&amp;TEXT($O$18,"0.000")&amp;" m (b4="&amp;TEXT($B$18-$O$18,"0.000")&amp;" m)")&amp;IF($Q$18="","","; P5="&amp;TEXT($Q$18,"0.00")&amp;" kN @ a5="&amp;TEXT($R$18,"0.000")&amp;" m (b5="&amp;TEXT($B$18-$R$18,"0.000")&amp;" m)")&amp;"; w="&amp;TEXT($S$18,"0.00")&amp;" kN/m"&amp;IF(L41="OK",CHAR(10)&amp;"UDL = "&amp;TEXT(C41,"0.00")&amp;" x "&amp;TEXT(D41,"0.00")&amp;" x (1.4 x "&amp;"("&amp;TEXT(E41,"0.00")&amp;" + "&amp;TEXT(N(F41),"0.00")&amp;")"&amp;" + 1.6 x "&amp;TEXT(G41,"0.00")&amp;") / "&amp;TEXT(I41,"0.00")&amp;" = "&amp;TEXT(K41,"0.00")&amp;" kN/m (additional floor load)","")&amp;CHAR(10)&amp;"V_L = wL/2 + Σ(P_i·b_i/L) = "&amp;TEXT($AF$39,"0.00")&amp;" kN; V_R = wL/2 + Σ(P_i·a_i/L) = "&amp;TEXT($AG$39,"0.00")&amp;" kN"&amp;CHAR(10)&amp;"Vult = MAX(V_L,V_R) = "&amp;TEXT($AH$39,"0.00")&amp;" kN; v = Vult/(bw × 0.9d) = "&amp;TEXT($AI$39,"0.00")&amp;" N/mm²"&amp;IF($AI$39&lt;=$AJ$39," &lt; "," &gt; ")&amp;"0.8√fcu = "&amp;TEXT($AJ$39,"0.00")&amp;" N/mm² ("&amp;$Y$18&amp;")"))</f>
        <v/>
      </c>
      <c r="C68" s="450"/>
      <c r="D68" s="450"/>
      <c r="E68" s="450"/>
      <c r="F68" s="450"/>
      <c r="G68" s="450"/>
      <c r="H68" s="450"/>
      <c r="I68" s="450"/>
      <c r="J68" s="450"/>
      <c r="K68" s="450"/>
      <c r="L68" s="201" t="str">
        <f>IF($A$18="","",IF(OR($X$18="",$Y$18="",$Y$18="INPUT REQUIRED"),"INPUT REQUIRED",IF(AND($X$18="OKAY",$Y$18="OKAY"),"OKAY","NOT OKAY")))</f>
        <v/>
      </c>
      <c r="M68" s="18"/>
      <c r="N68" s="18"/>
      <c r="O68" s="18"/>
      <c r="P68" s="18"/>
      <c r="Q68" s="18"/>
      <c r="R68" s="18"/>
      <c r="S68" s="18"/>
      <c r="T68" s="18"/>
    </row>
    <row r="69" spans="1:20" ht="22.05" customHeight="1">
      <c r="A69" s="235" t="str">
        <f>IF(OR($A$19="",$C$19="",$T$19=""),"",$A$19&amp;" "&amp;TEXT($T$19*1000,"0.###")&amp;" × "&amp;TEXT($C$19,"0.###")&amp;" mm dp.")</f>
        <v/>
      </c>
      <c r="B69" s="236" t="str">
        <f>IF($A$19="","",IF(OR($X$19="",$Y$19="",$Y$19="INPUT REQUIRED"),"INPUT REQUIRED","Span / Depth = "&amp;TEXT($B$19*1000,"0.###")&amp;"/"&amp;TEXT($C$19,"0.###")&amp;IF(AND($B$19&gt;10.001,$U$19&lt;&gt;"Cantilever")," × "&amp;TEXT($B$19,"0.000")&amp;"/10","")&amp;" = "&amp;TEXT($V$19,"0.00")&amp;IF($V$19&lt;=$W$19," &lt; "," &gt; ")&amp;TEXT($W$19,"0.00")&amp;" ("&amp;$X$19&amp;")"&amp;IF($V$19&gt;$W$19,CHAR(10)&amp;"Actual deflection will be checked in Section B.","")&amp;CHAR(10)&amp;"P calculation: "&amp;IF($D$19="","","P1 = "&amp;$D$19&amp;" total = "&amp;TEXT($E$19,"#,##0.00")&amp;" kN; ")&amp;IF($G$19="","","P2 = "&amp;$G$19&amp;" total = "&amp;TEXT($H$19,"#,##0.00")&amp;" kN; ")&amp;IF($J$19="","","P3 = "&amp;$J$19&amp;" total = "&amp;TEXT($K$19,"#,##0.00")&amp;" kN; ")&amp;IF($M$19="","","P4 = "&amp;$M$19&amp;" total = "&amp;TEXT($N$19,"#,##0.00")&amp;" kN; ")&amp;IF($P$19="","","P5 = "&amp;$P$19&amp;" total = "&amp;TEXT($Q$19,"#,##0.00")&amp;" kN; ")&amp;CHAR(10)&amp;"Loads"&amp;IF($E$19="","","; P1="&amp;TEXT($E$19,"0.00")&amp;" kN @ a1="&amp;TEXT($F$19,"0.000")&amp;" m (b1="&amp;TEXT($B$19-$F$19,"0.000")&amp;" m)")&amp;IF($H$19="","","; P2="&amp;TEXT($H$19,"0.00")&amp;" kN @ a2="&amp;TEXT($I$19,"0.000")&amp;" m (b2="&amp;TEXT($B$19-$I$19,"0.000")&amp;" m)")&amp;IF($K$19="","","; P3="&amp;TEXT($K$19,"0.00")&amp;" kN @ a3="&amp;TEXT($L$19,"0.000")&amp;" m (b3="&amp;TEXT($B$19-$L$19,"0.000")&amp;" m)")&amp;IF($N$19="","","; P4="&amp;TEXT($N$19,"0.00")&amp;" kN @ a4="&amp;TEXT($O$19,"0.000")&amp;" m (b4="&amp;TEXT($B$19-$O$19,"0.000")&amp;" m)")&amp;IF($Q$19="","","; P5="&amp;TEXT($Q$19,"0.00")&amp;" kN @ a5="&amp;TEXT($R$19,"0.000")&amp;" m (b5="&amp;TEXT($B$19-$R$19,"0.000")&amp;" m)")&amp;"; w="&amp;TEXT($S$19,"0.00")&amp;" kN/m"&amp;IF(L42="OK",CHAR(10)&amp;"UDL = "&amp;TEXT(C42,"0.00")&amp;" x "&amp;TEXT(D42,"0.00")&amp;" x (1.4 x "&amp;"("&amp;TEXT(E42,"0.00")&amp;" + "&amp;TEXT(N(F42),"0.00")&amp;")"&amp;" + 1.6 x "&amp;TEXT(G42,"0.00")&amp;") / "&amp;TEXT(I42,"0.00")&amp;" = "&amp;TEXT(K42,"0.00")&amp;" kN/m (additional floor load)","")&amp;CHAR(10)&amp;"V_L = wL/2 + Σ(P_i·b_i/L) = "&amp;TEXT($AF$40,"0.00")&amp;" kN; V_R = wL/2 + Σ(P_i·a_i/L) = "&amp;TEXT($AG$40,"0.00")&amp;" kN"&amp;CHAR(10)&amp;"Vult = MAX(V_L,V_R) = "&amp;TEXT($AH$40,"0.00")&amp;" kN; v = Vult/(bw × 0.9d) = "&amp;TEXT($AI$40,"0.00")&amp;" N/mm²"&amp;IF($AI$40&lt;=$AJ$40," &lt; "," &gt; ")&amp;"0.8√fcu = "&amp;TEXT($AJ$40,"0.00")&amp;" N/mm² ("&amp;$Y$19&amp;")"))</f>
        <v/>
      </c>
      <c r="C69" s="236"/>
      <c r="D69" s="236"/>
      <c r="E69" s="236"/>
      <c r="F69" s="236"/>
      <c r="G69" s="236"/>
      <c r="H69" s="236"/>
      <c r="I69" s="236"/>
      <c r="J69" s="236"/>
      <c r="K69" s="236"/>
      <c r="L69" s="201" t="str">
        <f>IF($A$19="","",IF(OR($X$19="",$Y$19="",$Y$19="INPUT REQUIRED"),"INPUT REQUIRED",IF(AND($X$19="OKAY",$Y$19="OKAY"),"OKAY","NOT OKAY")))</f>
        <v/>
      </c>
      <c r="M69" s="18"/>
      <c r="N69" s="18"/>
      <c r="O69" s="18"/>
      <c r="P69" s="18"/>
      <c r="Q69" s="18"/>
      <c r="R69" s="18"/>
      <c r="S69" s="18"/>
      <c r="T69" s="18"/>
    </row>
    <row r="70" spans="1:20" ht="22.05" customHeight="1">
      <c r="A70" s="235" t="str">
        <f>IF(OR($A$20="",$C$20="",$T$20=""),"",$A$20&amp;" "&amp;TEXT($T$20*1000,"0.###")&amp;" × "&amp;TEXT($C$20,"0.###")&amp;" mm dp.")</f>
        <v/>
      </c>
      <c r="B70" s="236" t="str">
        <f>IF($A$20="","",IF(OR($X$20="",$Y$20="",$Y$20="INPUT REQUIRED"),"INPUT REQUIRED","Span / Depth = "&amp;TEXT($B$20*1000,"0.###")&amp;"/"&amp;TEXT($C$20,"0.###")&amp;IF(AND($B$20&gt;10.001,$U$20&lt;&gt;"Cantilever")," × "&amp;TEXT($B$20,"0.000")&amp;"/10","")&amp;" = "&amp;TEXT($V$20,"0.00")&amp;IF($V$20&lt;=$W$20," &lt; "," &gt; ")&amp;TEXT($W$20,"0.00")&amp;" ("&amp;$X$20&amp;")"&amp;IF($V$20&gt;$W$20,CHAR(10)&amp;"Actual deflection will be checked in Section B.","")&amp;CHAR(10)&amp;"P calculation: "&amp;IF($D$20="","","P1 = "&amp;$D$20&amp;" total = "&amp;TEXT($E$20,"#,##0.00")&amp;" kN; ")&amp;IF($G$20="","","P2 = "&amp;$G$20&amp;" total = "&amp;TEXT($H$20,"#,##0.00")&amp;" kN; ")&amp;IF($J$20="","","P3 = "&amp;$J$20&amp;" total = "&amp;TEXT($K$20,"#,##0.00")&amp;" kN; ")&amp;IF($M$20="","","P4 = "&amp;$M$20&amp;" total = "&amp;TEXT($N$20,"#,##0.00")&amp;" kN; ")&amp;IF($P$20="","","P5 = "&amp;$P$20&amp;" total = "&amp;TEXT($Q$20,"#,##0.00")&amp;" kN; ")&amp;CHAR(10)&amp;"Loads"&amp;IF($E$20="","","; P1="&amp;TEXT($E$20,"0.00")&amp;" kN @ a1="&amp;TEXT($F$20,"0.000")&amp;" m (b1="&amp;TEXT($B$20-$F$20,"0.000")&amp;" m)")&amp;IF($H$20="","","; P2="&amp;TEXT($H$20,"0.00")&amp;" kN @ a2="&amp;TEXT($I$20,"0.000")&amp;" m (b2="&amp;TEXT($B$20-$I$20,"0.000")&amp;" m)")&amp;IF($K$20="","","; P3="&amp;TEXT($K$20,"0.00")&amp;" kN @ a3="&amp;TEXT($L$20,"0.000")&amp;" m (b3="&amp;TEXT($B$20-$L$20,"0.000")&amp;" m)")&amp;IF($N$20="","","; P4="&amp;TEXT($N$20,"0.00")&amp;" kN @ a4="&amp;TEXT($O$20,"0.000")&amp;" m (b4="&amp;TEXT($B$20-$O$20,"0.000")&amp;" m)")&amp;IF($Q$20="","","; P5="&amp;TEXT($Q$20,"0.00")&amp;" kN @ a5="&amp;TEXT($R$20,"0.000")&amp;" m (b5="&amp;TEXT($B$20-$R$20,"0.000")&amp;" m)")&amp;"; w="&amp;TEXT($S$20,"0.00")&amp;" kN/m"&amp;IF(L43="OK",CHAR(10)&amp;"UDL = "&amp;TEXT(C43,"0.00")&amp;" x "&amp;TEXT(D43,"0.00")&amp;" x (1.4 x "&amp;"("&amp;TEXT(E43,"0.00")&amp;" + "&amp;TEXT(N(F43),"0.00")&amp;")"&amp;" + 1.6 x "&amp;TEXT(G43,"0.00")&amp;") / "&amp;TEXT(I43,"0.00")&amp;" = "&amp;TEXT(K43,"0.00")&amp;" kN/m (additional floor load)","")&amp;CHAR(10)&amp;"V_L = wL/2 + Σ(P_i·b_i/L) = "&amp;TEXT($AF$41,"0.00")&amp;" kN; V_R = wL/2 + Σ(P_i·a_i/L) = "&amp;TEXT($AG$41,"0.00")&amp;" kN"&amp;CHAR(10)&amp;"Vult = MAX(V_L,V_R) = "&amp;TEXT($AH$41,"0.00")&amp;" kN; v = Vult/(bw × 0.9d) = "&amp;TEXT($AI$41,"0.00")&amp;" N/mm²"&amp;IF($AI$41&lt;=$AJ$41," &lt; "," &gt; ")&amp;"0.8√fcu = "&amp;TEXT($AJ$41,"0.00")&amp;" N/mm² ("&amp;$Y$20&amp;")"))</f>
        <v/>
      </c>
      <c r="C70" s="236"/>
      <c r="D70" s="236"/>
      <c r="E70" s="236"/>
      <c r="F70" s="236"/>
      <c r="G70" s="236"/>
      <c r="H70" s="236"/>
      <c r="I70" s="236"/>
      <c r="J70" s="236"/>
      <c r="K70" s="236"/>
      <c r="L70" s="201" t="str">
        <f>IF($A$20="","",IF(OR($X$20="",$Y$20="",$Y$20="INPUT REQUIRED"),"INPUT REQUIRED",IF(AND($X$20="OKAY",$Y$20="OKAY"),"OKAY","NOT OKAY")))</f>
        <v/>
      </c>
      <c r="M70" s="18"/>
      <c r="N70" s="18"/>
      <c r="O70" s="18"/>
      <c r="P70" s="18"/>
      <c r="Q70" s="18"/>
      <c r="R70" s="18"/>
      <c r="S70" s="18"/>
      <c r="T70" s="18"/>
    </row>
    <row r="71" spans="1:20" ht="24" customHeight="1">
      <c r="A71" s="235" t="str">
        <f>IF(OR($A$21="",$C$21="",$T$21=""),"",$A$21&amp;" "&amp;TEXT($T$21*1000,"0.###")&amp;" × "&amp;TEXT($C$21,"0.###")&amp;" mm dp.")</f>
        <v/>
      </c>
      <c r="B71" s="236" t="str">
        <f>IF($A$21="","",IF(OR($X$21="",$Y$21="",$Y$21="INPUT REQUIRED"),"INPUT REQUIRED","Span / Depth = "&amp;TEXT($B$21*1000,"0.###")&amp;"/"&amp;TEXT($C$21,"0.###")&amp;IF(AND($B$21&gt;10.001,$U$21&lt;&gt;"Cantilever")," × "&amp;TEXT($B$21,"0.000")&amp;"/10","")&amp;" = "&amp;TEXT($V$21,"0.00")&amp;IF($V$21&lt;=$W$21," &lt; "," &gt; ")&amp;TEXT($W$21,"0.00")&amp;" ("&amp;$X$21&amp;")"&amp;IF($V$21&gt;$W$21,CHAR(10)&amp;"Actual deflection will be checked in Section B.","")&amp;CHAR(10)&amp;"P calculation: "&amp;IF($D$21="","","P1 = "&amp;$D$21&amp;" total = "&amp;TEXT($E$21,"#,##0.00")&amp;" kN; ")&amp;IF($G$21="","","P2 = "&amp;$G$21&amp;" total = "&amp;TEXT($H$21,"#,##0.00")&amp;" kN; ")&amp;IF($J$21="","","P3 = "&amp;$J$21&amp;" total = "&amp;TEXT($K$21,"#,##0.00")&amp;" kN; ")&amp;IF($M$21="","","P4 = "&amp;$M$21&amp;" total = "&amp;TEXT($N$21,"#,##0.00")&amp;" kN; ")&amp;IF($P$21="","","P5 = "&amp;$P$21&amp;" total = "&amp;TEXT($Q$21,"#,##0.00")&amp;" kN; ")&amp;CHAR(10)&amp;"Loads"&amp;IF($E$21="","","; P1="&amp;TEXT($E$21,"0.00")&amp;" kN @ a1="&amp;TEXT($F$21,"0.000")&amp;" m (b1="&amp;TEXT($B$21-$F$21,"0.000")&amp;" m)")&amp;IF($H$21="","","; P2="&amp;TEXT($H$21,"0.00")&amp;" kN @ a2="&amp;TEXT($I$21,"0.000")&amp;" m (b2="&amp;TEXT($B$21-$I$21,"0.000")&amp;" m)")&amp;IF($K$21="","","; P3="&amp;TEXT($K$21,"0.00")&amp;" kN @ a3="&amp;TEXT($L$21,"0.000")&amp;" m (b3="&amp;TEXT($B$21-$L$21,"0.000")&amp;" m)")&amp;IF($N$21="","","; P4="&amp;TEXT($N$21,"0.00")&amp;" kN @ a4="&amp;TEXT($O$21,"0.000")&amp;" m (b4="&amp;TEXT($B$21-$O$21,"0.000")&amp;" m)")&amp;IF($Q$21="","","; P5="&amp;TEXT($Q$21,"0.00")&amp;" kN @ a5="&amp;TEXT($R$21,"0.000")&amp;" m (b5="&amp;TEXT($B$21-$R$21,"0.000")&amp;" m)")&amp;"; w="&amp;TEXT($S$21,"0.00")&amp;" kN/m"&amp;IF(L44="OK",CHAR(10)&amp;"UDL = "&amp;TEXT(C44,"0.00")&amp;" x "&amp;TEXT(D44,"0.00")&amp;" x (1.4 x "&amp;"("&amp;TEXT(E44,"0.00")&amp;" + "&amp;TEXT(N(F44),"0.00")&amp;")"&amp;" + 1.6 x "&amp;TEXT(G44,"0.00")&amp;") / "&amp;TEXT(I44,"0.00")&amp;" = "&amp;TEXT(K44,"0.00")&amp;" kN/m (additional floor load)","")&amp;CHAR(10)&amp;"V_L = wL/2 + Σ(P_i·b_i/L) = "&amp;TEXT($AF$42,"0.00")&amp;" kN; V_R = wL/2 + Σ(P_i·a_i/L) = "&amp;TEXT($AG$42,"0.00")&amp;" kN"&amp;CHAR(10)&amp;"Vult = MAX(V_L,V_R) = "&amp;TEXT($AH$42,"0.00")&amp;" kN; v = Vult/(bw × 0.9d) = "&amp;TEXT($AI$42,"0.00")&amp;" N/mm²"&amp;IF($AI$42&lt;=$AJ$42," &lt; "," &gt; ")&amp;"0.8√fcu = "&amp;TEXT($AJ$42,"0.00")&amp;" N/mm² ("&amp;$Y$21&amp;")"))</f>
        <v/>
      </c>
      <c r="C71" s="236"/>
      <c r="D71" s="236"/>
      <c r="E71" s="236"/>
      <c r="F71" s="236"/>
      <c r="G71" s="236"/>
      <c r="H71" s="236"/>
      <c r="I71" s="236"/>
      <c r="J71" s="236"/>
      <c r="K71" s="236"/>
      <c r="L71" s="201" t="str">
        <f>IF($A$21="","",IF(OR($X$21="",$Y$21="",$Y$21="INPUT REQUIRED"),"INPUT REQUIRED",IF(AND($X$21="OKAY",$Y$21="OKAY"),"OKAY","NOT OKAY")))</f>
        <v/>
      </c>
      <c r="M71" s="18"/>
      <c r="N71" s="18"/>
      <c r="O71" s="18"/>
      <c r="P71" s="18"/>
      <c r="Q71" s="18"/>
      <c r="R71" s="18"/>
      <c r="S71" s="18"/>
      <c r="T71" s="18"/>
    </row>
    <row r="72" spans="1:20" ht="34.049999999999997" customHeight="1">
      <c r="A72" s="235" t="str">
        <f>IF(OR($A$22="",$C$22="",$T$22=""),"",$A$22&amp;" "&amp;TEXT($T$22*1000,"0.###")&amp;" × "&amp;TEXT($C$22,"0.###")&amp;" mm dp.")</f>
        <v/>
      </c>
      <c r="B72" s="236" t="str">
        <f>IF($A$22="","",IF(OR($X$22="",$Y$22="",$Y$22="INPUT REQUIRED"),"INPUT REQUIRED","Span / Depth = "&amp;TEXT($B$22*1000,"0.###")&amp;"/"&amp;TEXT($C$22,"0.###")&amp;IF(AND($B$22&gt;10.001,$U$22&lt;&gt;"Cantilever")," × "&amp;TEXT($B$22,"0.000")&amp;"/10","")&amp;" = "&amp;TEXT($V$22,"0.00")&amp;IF($V$22&lt;=$W$22," &lt; "," &gt; ")&amp;TEXT($W$22,"0.00")&amp;" ("&amp;$X$22&amp;")"&amp;IF($V$22&gt;$W$22,CHAR(10)&amp;"Actual deflection will be checked in Section B.","")&amp;CHAR(10)&amp;"P calculation: "&amp;IF($D$22="","","P1 = "&amp;$D$22&amp;" total = "&amp;TEXT($E$22,"#,##0.00")&amp;" kN; ")&amp;IF($G$22="","","P2 = "&amp;$G$22&amp;" total = "&amp;TEXT($H$22,"#,##0.00")&amp;" kN; ")&amp;IF($J$22="","","P3 = "&amp;$J$22&amp;" total = "&amp;TEXT($K$22,"#,##0.00")&amp;" kN; ")&amp;IF($M$22="","","P4 = "&amp;$M$22&amp;" total = "&amp;TEXT($N$22,"#,##0.00")&amp;" kN; ")&amp;IF($P$22="","","P5 = "&amp;$P$22&amp;" total = "&amp;TEXT($Q$22,"#,##0.00")&amp;" kN; ")&amp;CHAR(10)&amp;"Loads"&amp;IF($E$22="","","; P1="&amp;TEXT($E$22,"0.00")&amp;" kN @ a1="&amp;TEXT($F$22,"0.000")&amp;" m (b1="&amp;TEXT($B$22-$F$22,"0.000")&amp;" m)")&amp;IF($H$22="","","; P2="&amp;TEXT($H$22,"0.00")&amp;" kN @ a2="&amp;TEXT($I$22,"0.000")&amp;" m (b2="&amp;TEXT($B$22-$I$22,"0.000")&amp;" m)")&amp;IF($K$22="","","; P3="&amp;TEXT($K$22,"0.00")&amp;" kN @ a3="&amp;TEXT($L$22,"0.000")&amp;" m (b3="&amp;TEXT($B$22-$L$22,"0.000")&amp;" m)")&amp;IF($N$22="","","; P4="&amp;TEXT($N$22,"0.00")&amp;" kN @ a4="&amp;TEXT($O$22,"0.000")&amp;" m (b4="&amp;TEXT($B$22-$O$22,"0.000")&amp;" m)")&amp;IF($Q$22="","","; P5="&amp;TEXT($Q$22,"0.00")&amp;" kN @ a5="&amp;TEXT($R$22,"0.000")&amp;" m (b5="&amp;TEXT($B$22-$R$22,"0.000")&amp;" m)")&amp;"; w="&amp;TEXT($S$22,"0.00")&amp;" kN/m"&amp;IF(L45="OK",CHAR(10)&amp;"UDL = "&amp;TEXT(C45,"0.00")&amp;" x "&amp;TEXT(D45,"0.00")&amp;" x (1.4 x "&amp;"("&amp;TEXT(E45,"0.00")&amp;" + "&amp;TEXT(N(F45),"0.00")&amp;")"&amp;" + 1.6 x "&amp;TEXT(G45,"0.00")&amp;") / "&amp;TEXT(I45,"0.00")&amp;" = "&amp;TEXT(K45,"0.00")&amp;" kN/m (additional floor load)","")&amp;CHAR(10)&amp;"V_L = wL/2 + Σ(P_i·b_i/L) = "&amp;TEXT($AF$43,"0.00")&amp;" kN; V_R = wL/2 + Σ(P_i·a_i/L) = "&amp;TEXT($AG$43,"0.00")&amp;" kN"&amp;CHAR(10)&amp;"Vult = MAX(V_L,V_R) = "&amp;TEXT($AH$43,"0.00")&amp;" kN; v = Vult/(bw × 0.9d) = "&amp;TEXT($AI$43,"0.00")&amp;" N/mm²"&amp;IF($AI$43&lt;=$AJ$43," &lt; "," &gt; ")&amp;"0.8√fcu = "&amp;TEXT($AJ$43,"0.00")&amp;" N/mm² ("&amp;$Y$22&amp;")"))</f>
        <v/>
      </c>
      <c r="C72" s="236"/>
      <c r="D72" s="236"/>
      <c r="E72" s="236"/>
      <c r="F72" s="236"/>
      <c r="G72" s="236"/>
      <c r="H72" s="236"/>
      <c r="I72" s="236"/>
      <c r="J72" s="236"/>
      <c r="K72" s="236"/>
      <c r="L72" s="201" t="str">
        <f>IF($A$22="","",IF(OR($X$22="",$Y$22="",$Y$22="INPUT REQUIRED"),"INPUT REQUIRED",IF(AND($X$22="OKAY",$Y$22="OKAY"),"OKAY","NOT OKAY")))</f>
        <v/>
      </c>
      <c r="M72" s="18"/>
      <c r="N72" s="18"/>
      <c r="O72" s="18"/>
      <c r="P72" s="18"/>
      <c r="Q72" s="18"/>
      <c r="R72" s="18"/>
      <c r="S72" s="18"/>
      <c r="T72" s="18"/>
    </row>
    <row r="73" spans="1:20">
      <c r="A73" s="235" t="str">
        <f>IF(OR($A$23="",$C$23="",$T$23=""),"",$A$23&amp;" "&amp;TEXT($T$23*1000,"0.###")&amp;" × "&amp;TEXT($C$23,"0.###")&amp;" mm dp.")</f>
        <v/>
      </c>
      <c r="B73" s="236" t="str">
        <f>IF($A$23="","",IF(OR($X$23="",$Y$23="",$Y$23="INPUT REQUIRED"),"INPUT REQUIRED","Span / Depth = "&amp;TEXT($B$23*1000,"0.###")&amp;"/"&amp;TEXT($C$23,"0.###")&amp;IF(AND($B$23&gt;10.001,$U$23&lt;&gt;"Cantilever")," × "&amp;TEXT($B$23,"0.000")&amp;"/10","")&amp;" = "&amp;TEXT($V$23,"0.00")&amp;IF($V$23&lt;=$W$23," &lt; "," &gt; ")&amp;TEXT($W$23,"0.00")&amp;" ("&amp;$X$23&amp;")"&amp;IF($V$23&gt;$W$23,CHAR(10)&amp;"Actual deflection will be checked in Section B.","")&amp;CHAR(10)&amp;"P calculation: "&amp;IF($D$23="","","P1 = "&amp;$D$23&amp;" total = "&amp;TEXT($E$23,"#,##0.00")&amp;" kN; ")&amp;IF($G$23="","","P2 = "&amp;$G$23&amp;" total = "&amp;TEXT($H$23,"#,##0.00")&amp;" kN; ")&amp;IF($J$23="","","P3 = "&amp;$J$23&amp;" total = "&amp;TEXT($K$23,"#,##0.00")&amp;" kN; ")&amp;IF($M$23="","","P4 = "&amp;$M$23&amp;" total = "&amp;TEXT($N$23,"#,##0.00")&amp;" kN; ")&amp;IF($P$23="","","P5 = "&amp;$P$23&amp;" total = "&amp;TEXT($Q$23,"#,##0.00")&amp;" kN; ")&amp;CHAR(10)&amp;"Loads"&amp;IF($E$23="","","; P1="&amp;TEXT($E$23,"0.00")&amp;" kN @ a1="&amp;TEXT($F$23,"0.000")&amp;" m (b1="&amp;TEXT($B$23-$F$23,"0.000")&amp;" m)")&amp;IF($H$23="","","; P2="&amp;TEXT($H$23,"0.00")&amp;" kN @ a2="&amp;TEXT($I$23,"0.000")&amp;" m (b2="&amp;TEXT($B$23-$I$23,"0.000")&amp;" m)")&amp;IF($K$23="","","; P3="&amp;TEXT($K$23,"0.00")&amp;" kN @ a3="&amp;TEXT($L$23,"0.000")&amp;" m (b3="&amp;TEXT($B$23-$L$23,"0.000")&amp;" m)")&amp;IF($N$23="","","; P4="&amp;TEXT($N$23,"0.00")&amp;" kN @ a4="&amp;TEXT($O$23,"0.000")&amp;" m (b4="&amp;TEXT($B$23-$O$23,"0.000")&amp;" m)")&amp;IF($Q$23="","","; P5="&amp;TEXT($Q$23,"0.00")&amp;" kN @ a5="&amp;TEXT($R$23,"0.000")&amp;" m (b5="&amp;TEXT($B$23-$R$23,"0.000")&amp;" m)")&amp;"; w="&amp;TEXT($S$23,"0.00")&amp;" kN/m"&amp;IF(L46="OK",CHAR(10)&amp;"UDL = "&amp;TEXT(C46,"0.00")&amp;" x "&amp;TEXT(D46,"0.00")&amp;" x (1.4 x "&amp;"("&amp;TEXT(E46,"0.00")&amp;" + "&amp;TEXT(N(F46),"0.00")&amp;")"&amp;" + 1.6 x "&amp;TEXT(G46,"0.00")&amp;") / "&amp;TEXT(I46,"0.00")&amp;" = "&amp;TEXT(K46,"0.00")&amp;" kN/m (additional floor load)","")&amp;CHAR(10)&amp;"V_L = wL/2 + Σ(P_i·b_i/L) = "&amp;TEXT($AF$44,"0.00")&amp;" kN; V_R = wL/2 + Σ(P_i·a_i/L) = "&amp;TEXT($AG$44,"0.00")&amp;" kN"&amp;CHAR(10)&amp;"Vult = MAX(V_L,V_R) = "&amp;TEXT($AH$44,"0.00")&amp;" kN; v = Vult/(bw × 0.9d) = "&amp;TEXT($AI$44,"0.00")&amp;" N/mm²"&amp;IF($AI$44&lt;=$AJ$44," &lt; "," &gt; ")&amp;"0.8√fcu = "&amp;TEXT($AJ$44,"0.00")&amp;" N/mm² ("&amp;$Y$23&amp;")"))</f>
        <v/>
      </c>
      <c r="C73" s="236"/>
      <c r="D73" s="236"/>
      <c r="E73" s="236"/>
      <c r="F73" s="236"/>
      <c r="G73" s="236"/>
      <c r="H73" s="236"/>
      <c r="I73" s="236"/>
      <c r="J73" s="236"/>
      <c r="K73" s="236"/>
      <c r="L73" s="201" t="str">
        <f>IF($A$23="","",IF(OR($X$23="",$Y$23="",$Y$23="INPUT REQUIRED"),"INPUT REQUIRED",IF(AND($X$23="OKAY",$Y$23="OKAY"),"OKAY","NOT OKAY")))</f>
        <v/>
      </c>
      <c r="M73" s="18"/>
      <c r="N73" s="18"/>
      <c r="O73" s="18"/>
      <c r="P73" s="18"/>
      <c r="Q73" s="18"/>
      <c r="R73" s="18"/>
      <c r="S73" s="18"/>
      <c r="T73" s="18"/>
    </row>
    <row r="74" spans="1:20">
      <c r="A74" s="235" t="str">
        <f>IF(OR($A$24="",$C$24="",$T$24=""),"",$A$24&amp;" "&amp;TEXT($T$24*1000,"0.###")&amp;" × "&amp;TEXT($C$24,"0.###")&amp;" mm dp.")</f>
        <v/>
      </c>
      <c r="B74" s="236" t="str">
        <f>IF($A$24="","",IF(OR($X$24="",$Y$24="",$Y$24="INPUT REQUIRED"),"INPUT REQUIRED","Span / Depth = "&amp;TEXT($B$24*1000,"0.###")&amp;"/"&amp;TEXT($C$24,"0.###")&amp;IF(AND($B$24&gt;10.001,$U$24&lt;&gt;"Cantilever")," × "&amp;TEXT($B$24,"0.000")&amp;"/10","")&amp;" = "&amp;TEXT($V$24,"0.00")&amp;IF($V$24&lt;=$W$24," &lt; "," &gt; ")&amp;TEXT($W$24,"0.00")&amp;" ("&amp;$X$24&amp;")"&amp;IF($V$24&gt;$W$24,CHAR(10)&amp;"Actual deflection will be checked in Section B.","")&amp;CHAR(10)&amp;"P calculation: "&amp;IF($D$24="","","P1 = "&amp;$D$24&amp;" total = "&amp;TEXT($E$24,"#,##0.00")&amp;" kN; ")&amp;IF($G$24="","","P2 = "&amp;$G$24&amp;" total = "&amp;TEXT($H$24,"#,##0.00")&amp;" kN; ")&amp;IF($J$24="","","P3 = "&amp;$J$24&amp;" total = "&amp;TEXT($K$24,"#,##0.00")&amp;" kN; ")&amp;IF($M$24="","","P4 = "&amp;$M$24&amp;" total = "&amp;TEXT($N$24,"#,##0.00")&amp;" kN; ")&amp;IF($P$24="","","P5 = "&amp;$P$24&amp;" total = "&amp;TEXT($Q$24,"#,##0.00")&amp;" kN; ")&amp;CHAR(10)&amp;"Loads"&amp;IF($E$24="","","; P1="&amp;TEXT($E$24,"0.00")&amp;" kN @ a1="&amp;TEXT($F$24,"0.000")&amp;" m (b1="&amp;TEXT($B$24-$F$24,"0.000")&amp;" m)")&amp;IF($H$24="","","; P2="&amp;TEXT($H$24,"0.00")&amp;" kN @ a2="&amp;TEXT($I$24,"0.000")&amp;" m (b2="&amp;TEXT($B$24-$I$24,"0.000")&amp;" m)")&amp;IF($K$24="","","; P3="&amp;TEXT($K$24,"0.00")&amp;" kN @ a3="&amp;TEXT($L$24,"0.000")&amp;" m (b3="&amp;TEXT($B$24-$L$24,"0.000")&amp;" m)")&amp;IF($N$24="","","; P4="&amp;TEXT($N$24,"0.00")&amp;" kN @ a4="&amp;TEXT($O$24,"0.000")&amp;" m (b4="&amp;TEXT($B$24-$O$24,"0.000")&amp;" m)")&amp;IF($Q$24="","","; P5="&amp;TEXT($Q$24,"0.00")&amp;" kN @ a5="&amp;TEXT($R$24,"0.000")&amp;" m (b5="&amp;TEXT($B$24-$R$24,"0.000")&amp;" m)")&amp;"; w="&amp;TEXT($S$24,"0.00")&amp;" kN/m"&amp;IF(L47="OK",CHAR(10)&amp;"UDL = "&amp;TEXT(C47,"0.00")&amp;" x "&amp;TEXT(D47,"0.00")&amp;" x (1.4 x "&amp;"("&amp;TEXT(E47,"0.00")&amp;" + "&amp;TEXT(N(F47),"0.00")&amp;")"&amp;" + 1.6 x "&amp;TEXT(G47,"0.00")&amp;") / "&amp;TEXT(I47,"0.00")&amp;" = "&amp;TEXT(K47,"0.00")&amp;" kN/m (additional floor load)","")&amp;CHAR(10)&amp;"V_L = wL/2 + Σ(P_i·b_i/L) = "&amp;TEXT($AF$45,"0.00")&amp;" kN; V_R = wL/2 + Σ(P_i·a_i/L) = "&amp;TEXT($AG$45,"0.00")&amp;" kN"&amp;CHAR(10)&amp;"Vult = MAX(V_L,V_R) = "&amp;TEXT($AH$45,"0.00")&amp;" kN; v = Vult/(bw × 0.9d) = "&amp;TEXT($AI$45,"0.00")&amp;" N/mm²"&amp;IF($AI$45&lt;=$AJ$45," &lt; "," &gt; ")&amp;"0.8√fcu = "&amp;TEXT($AJ$45,"0.00")&amp;" N/mm² ("&amp;$Y$24&amp;")"))</f>
        <v/>
      </c>
      <c r="C74" s="236"/>
      <c r="D74" s="236"/>
      <c r="E74" s="236"/>
      <c r="F74" s="236"/>
      <c r="G74" s="236"/>
      <c r="H74" s="236"/>
      <c r="I74" s="236"/>
      <c r="J74" s="236"/>
      <c r="K74" s="236"/>
      <c r="L74" s="201" t="str">
        <f>IF($A$24="","",IF(OR($X$24="",$Y$24="",$Y$24="INPUT REQUIRED"),"INPUT REQUIRED",IF(AND($X$24="OKAY",$Y$24="OKAY"),"OKAY","NOT OKAY")))</f>
        <v/>
      </c>
      <c r="M74" s="18"/>
      <c r="N74" s="18"/>
      <c r="O74" s="18"/>
      <c r="P74" s="18"/>
      <c r="Q74" s="18"/>
      <c r="R74" s="18"/>
      <c r="S74" s="18"/>
      <c r="T74" s="18"/>
    </row>
    <row r="75" spans="1:20">
      <c r="A75" s="235" t="str">
        <f>IF(OR($A$25="",$C$25="",$T$25=""),"",$A$25&amp;" "&amp;TEXT($T$25*1000,"0.###")&amp;" × "&amp;TEXT($C$25,"0.###")&amp;" mm dp.")</f>
        <v/>
      </c>
      <c r="B75" s="236" t="str">
        <f>IF($A$25="","",IF(OR($X$25="",$Y$25="",$Y$25="INPUT REQUIRED"),"INPUT REQUIRED","Span / Depth = "&amp;TEXT($B$25*1000,"0.###")&amp;"/"&amp;TEXT($C$25,"0.###")&amp;IF(AND($B$25&gt;10.001,$U$25&lt;&gt;"Cantilever")," × "&amp;TEXT($B$25,"0.000")&amp;"/10","")&amp;" = "&amp;TEXT($V$25,"0.00")&amp;IF($V$25&lt;=$W$25," &lt; "," &gt; ")&amp;TEXT($W$25,"0.00")&amp;" ("&amp;$X$25&amp;")"&amp;IF($V$25&gt;$W$25,CHAR(10)&amp;"Actual deflection will be checked in Section B.","")&amp;CHAR(10)&amp;"P calculation: "&amp;IF($D$25="","","P1 = "&amp;$D$25&amp;" total = "&amp;TEXT($E$25,"#,##0.00")&amp;" kN; ")&amp;IF($G$25="","","P2 = "&amp;$G$25&amp;" total = "&amp;TEXT($H$25,"#,##0.00")&amp;" kN; ")&amp;IF($J$25="","","P3 = "&amp;$J$25&amp;" total = "&amp;TEXT($K$25,"#,##0.00")&amp;" kN; ")&amp;IF($M$25="","","P4 = "&amp;$M$25&amp;" total = "&amp;TEXT($N$25,"#,##0.00")&amp;" kN; ")&amp;IF($P$25="","","P5 = "&amp;$P$25&amp;" total = "&amp;TEXT($Q$25,"#,##0.00")&amp;" kN; ")&amp;CHAR(10)&amp;"Loads"&amp;IF($E$25="","","; P1="&amp;TEXT($E$25,"0.00")&amp;" kN @ a1="&amp;TEXT($F$25,"0.000")&amp;" m (b1="&amp;TEXT($B$25-$F$25,"0.000")&amp;" m)")&amp;IF($H$25="","","; P2="&amp;TEXT($H$25,"0.00")&amp;" kN @ a2="&amp;TEXT($I$25,"0.000")&amp;" m (b2="&amp;TEXT($B$25-$I$25,"0.000")&amp;" m)")&amp;IF($K$25="","","; P3="&amp;TEXT($K$25,"0.00")&amp;" kN @ a3="&amp;TEXT($L$25,"0.000")&amp;" m (b3="&amp;TEXT($B$25-$L$25,"0.000")&amp;" m)")&amp;IF($N$25="","","; P4="&amp;TEXT($N$25,"0.00")&amp;" kN @ a4="&amp;TEXT($O$25,"0.000")&amp;" m (b4="&amp;TEXT($B$25-$O$25,"0.000")&amp;" m)")&amp;IF($Q$25="","","; P5="&amp;TEXT($Q$25,"0.00")&amp;" kN @ a5="&amp;TEXT($R$25,"0.000")&amp;" m (b5="&amp;TEXT($B$25-$R$25,"0.000")&amp;" m)")&amp;"; w="&amp;TEXT($S$25,"0.00")&amp;" kN/m"&amp;IF(L48="OK",CHAR(10)&amp;"UDL = "&amp;TEXT(C48,"0.00")&amp;" x "&amp;TEXT(D48,"0.00")&amp;" x (1.4 x "&amp;"("&amp;TEXT(E48,"0.00")&amp;" + "&amp;TEXT(N(F48),"0.00")&amp;")"&amp;" + 1.6 x "&amp;TEXT(G48,"0.00")&amp;") / "&amp;TEXT(I48,"0.00")&amp;" = "&amp;TEXT(K48,"0.00")&amp;" kN/m (additional floor load)","")&amp;CHAR(10)&amp;"V_L = wL/2 + Σ(P_i·b_i/L) = "&amp;TEXT($AF$46,"0.00")&amp;" kN; V_R = wL/2 + Σ(P_i·a_i/L) = "&amp;TEXT($AG$46,"0.00")&amp;" kN"&amp;CHAR(10)&amp;"Vult = MAX(V_L,V_R) = "&amp;TEXT($AH$46,"0.00")&amp;" kN; v = Vult/(bw × 0.9d) = "&amp;TEXT($AI$46,"0.00")&amp;" N/mm²"&amp;IF($AI$46&lt;=$AJ$46," &lt; "," &gt; ")&amp;"0.8√fcu = "&amp;TEXT($AJ$46,"0.00")&amp;" N/mm² ("&amp;$Y$25&amp;")"))</f>
        <v/>
      </c>
      <c r="C75" s="236"/>
      <c r="D75" s="236"/>
      <c r="E75" s="236"/>
      <c r="F75" s="236"/>
      <c r="G75" s="236"/>
      <c r="H75" s="236"/>
      <c r="I75" s="236"/>
      <c r="J75" s="236"/>
      <c r="K75" s="236"/>
      <c r="L75" s="201" t="str">
        <f>IF($A$25="","",IF(OR($X$25="",$Y$25="",$Y$25="INPUT REQUIRED"),"INPUT REQUIRED",IF(AND($X$25="OKAY",$Y$25="OKAY"),"OKAY","NOT OKAY")))</f>
        <v/>
      </c>
      <c r="M75" s="18"/>
      <c r="N75" s="18"/>
      <c r="O75" s="18"/>
      <c r="P75" s="18"/>
      <c r="Q75" s="18"/>
      <c r="R75" s="18"/>
      <c r="S75" s="18"/>
      <c r="T75" s="18"/>
    </row>
  </sheetData>
  <mergeCells count="23">
    <mergeCell ref="AH21:AP21"/>
    <mergeCell ref="A1:T1"/>
    <mergeCell ref="A2:T2"/>
    <mergeCell ref="AH4:AP4"/>
    <mergeCell ref="AH5:AK5"/>
    <mergeCell ref="AL5:AP5"/>
    <mergeCell ref="A4:AA4"/>
    <mergeCell ref="B58:K58"/>
    <mergeCell ref="B59:K59"/>
    <mergeCell ref="B67:K67"/>
    <mergeCell ref="B68:K68"/>
    <mergeCell ref="B60:K60"/>
    <mergeCell ref="B61:K61"/>
    <mergeCell ref="B62:K62"/>
    <mergeCell ref="B63:K63"/>
    <mergeCell ref="B64:K64"/>
    <mergeCell ref="B65:K65"/>
    <mergeCell ref="B66:K66"/>
    <mergeCell ref="A27:L27"/>
    <mergeCell ref="A50:L51"/>
    <mergeCell ref="A54:L54"/>
    <mergeCell ref="B56:K56"/>
    <mergeCell ref="B57:K57"/>
  </mergeCells>
  <phoneticPr fontId="10" type="noConversion"/>
  <conditionalFormatting sqref="J29:J36 I53:I55">
    <cfRule type="containsText" dxfId="32" priority="3" operator="containsText" text="OKAY"/>
    <cfRule type="containsText" dxfId="31" priority="4" operator="containsText" text="NOT OKAY"/>
    <cfRule type="containsText" dxfId="30" priority="5" operator="containsText" text="INPUT REQUIRED"/>
  </conditionalFormatting>
  <dataValidations count="7">
    <dataValidation type="whole" sqref="AH5:AP5" xr:uid="{00000000-0002-0000-0300-000000000000}">
      <formula1>6</formula1>
      <formula2>25</formula2>
    </dataValidation>
    <dataValidation type="list" allowBlank="1" showInputMessage="1" showErrorMessage="1" sqref="U6:U25" xr:uid="{23A54AA7-4A2E-4555-8DE0-E23DB4E873CD}">
      <formula1>"Cantilever,Simply-supported,Continuous,End span"</formula1>
    </dataValidation>
    <dataValidation type="decimal" operator="greaterThan" allowBlank="1" showInputMessage="1" showErrorMessage="1" sqref="C29:D48" xr:uid="{3046CE35-A04F-44A5-8ECF-14B1279CB26A}">
      <formula1>0</formula1>
    </dataValidation>
    <dataValidation type="whole" allowBlank="1" showInputMessage="1" showErrorMessage="1" promptTitle="Concrete grade" prompt="Enter numeric fcu, e.g. 60 for C60 (N/mm²)." sqref="Z6:Z25" xr:uid="{D70E3868-ABEF-4533-A63B-3C73D0597B3A}">
      <formula1>1</formula1>
      <formula2>150</formula2>
    </dataValidation>
    <dataValidation type="decimal" operator="greaterThanOrEqual" allowBlank="1" showInputMessage="1" showErrorMessage="1" sqref="E29:G48" xr:uid="{DE4C052E-9494-45C2-9A24-82262292312A}">
      <formula1>0</formula1>
    </dataValidation>
    <dataValidation type="list" allowBlank="1" showInputMessage="1" showErrorMessage="1" sqref="D6:D25 G6:G25 J6:J25 M6:M25 P6:P25" xr:uid="{D670579A-FC20-4703-8D95-C99BFF4CEAF1}">
      <formula1>TCIDs</formula1>
    </dataValidation>
    <dataValidation type="decimal" operator="greaterThan" allowBlank="1" showInputMessage="1" showErrorMessage="1" errorTitle="Positive depth required" error="Enter a positive depth in mm." promptTitle="Depth in millimetres" prompt="Enter mm, e.g. 200 for a 200 mm slab or 1000 for a 1 m beam." sqref="C6:C25" xr:uid="{07998787-75B2-471B-97D1-7869E8EE5E1F}">
      <formula1>0</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3757"/>
    <pageSetUpPr fitToPage="1"/>
  </sheetPr>
  <dimension ref="A1:H2000"/>
  <sheetViews>
    <sheetView showGridLines="0" topLeftCell="A11" zoomScale="90" zoomScaleNormal="90" workbookViewId="0">
      <selection activeCell="E27" sqref="E27"/>
    </sheetView>
  </sheetViews>
  <sheetFormatPr defaultRowHeight="13.8"/>
  <cols>
    <col min="1" max="1" width="9.69921875" customWidth="1"/>
    <col min="2" max="2" width="16.69921875" customWidth="1"/>
    <col min="3" max="4" width="10.69921875" customWidth="1"/>
    <col min="5" max="5" width="12.69921875" customWidth="1"/>
    <col min="6" max="7" width="11.69921875" customWidth="1"/>
    <col min="8" max="8" width="13.69921875" customWidth="1"/>
    <col min="9" max="9" width="18" customWidth="1"/>
  </cols>
  <sheetData>
    <row r="1" spans="1:8" ht="37.950000000000003" customHeight="1">
      <c r="A1" s="461" t="s">
        <v>167</v>
      </c>
      <c r="B1" s="462"/>
      <c r="C1" s="462"/>
      <c r="D1" s="462"/>
      <c r="E1" s="462"/>
      <c r="F1" s="462"/>
      <c r="G1" s="462"/>
      <c r="H1" s="462"/>
    </row>
    <row r="2" spans="1:8" ht="19.95" customHeight="1">
      <c r="A2" s="463" t="s">
        <v>168</v>
      </c>
      <c r="B2" s="464"/>
      <c r="C2" s="464"/>
      <c r="D2" s="464"/>
      <c r="E2" s="464"/>
      <c r="F2" s="464"/>
      <c r="G2" s="464"/>
      <c r="H2" s="464"/>
    </row>
    <row r="3" spans="1:8" ht="10.050000000000001" customHeight="1">
      <c r="A3" s="331"/>
      <c r="B3" s="331"/>
      <c r="C3" s="331"/>
      <c r="D3" s="331"/>
      <c r="E3" s="331"/>
      <c r="F3" s="331"/>
      <c r="G3" s="331"/>
      <c r="H3" s="331"/>
    </row>
    <row r="4" spans="1:8" ht="24" customHeight="1">
      <c r="A4" s="462" t="s">
        <v>169</v>
      </c>
      <c r="B4" s="462"/>
      <c r="C4" s="462"/>
      <c r="D4" s="462"/>
      <c r="E4" s="462"/>
      <c r="F4" s="462"/>
      <c r="G4" s="462"/>
      <c r="H4" s="462"/>
    </row>
    <row r="5" spans="1:8" ht="24" customHeight="1">
      <c r="A5" s="465" t="s">
        <v>170</v>
      </c>
      <c r="B5" s="465"/>
      <c r="C5" s="465"/>
      <c r="D5" s="465"/>
      <c r="E5" s="465"/>
      <c r="F5" s="465"/>
      <c r="G5" s="465"/>
      <c r="H5" s="465"/>
    </row>
    <row r="6" spans="1:8" ht="24" customHeight="1">
      <c r="A6" s="465" t="s">
        <v>171</v>
      </c>
      <c r="B6" s="465"/>
      <c r="C6" s="465"/>
      <c r="D6" s="465"/>
      <c r="E6" s="465"/>
      <c r="F6" s="465"/>
      <c r="G6" s="465"/>
      <c r="H6" s="465"/>
    </row>
    <row r="7" spans="1:8" ht="10.050000000000001" customHeight="1">
      <c r="A7" s="331"/>
      <c r="B7" s="331"/>
      <c r="C7" s="331"/>
      <c r="D7" s="331"/>
      <c r="E7" s="331"/>
      <c r="F7" s="331"/>
      <c r="G7" s="331"/>
      <c r="H7" s="331"/>
    </row>
    <row r="8" spans="1:8" ht="28.05" customHeight="1">
      <c r="A8" s="457" t="s">
        <v>179</v>
      </c>
      <c r="B8" s="457"/>
      <c r="C8" s="457"/>
      <c r="D8" s="457"/>
      <c r="E8" s="457"/>
      <c r="F8" s="457"/>
      <c r="G8" s="457"/>
      <c r="H8" s="457"/>
    </row>
    <row r="9" spans="1:8" ht="30" customHeight="1">
      <c r="A9" s="457" t="s">
        <v>180</v>
      </c>
      <c r="B9" s="457"/>
      <c r="C9" s="457"/>
      <c r="D9" s="457"/>
      <c r="E9" s="457" t="s">
        <v>181</v>
      </c>
      <c r="F9" s="457"/>
      <c r="G9" s="457"/>
      <c r="H9" s="457"/>
    </row>
    <row r="10" spans="1:8" ht="46.05" customHeight="1">
      <c r="A10" s="458" t="s">
        <v>182</v>
      </c>
      <c r="B10" s="458"/>
      <c r="C10" s="458"/>
      <c r="D10" s="458"/>
      <c r="E10" s="458" t="s">
        <v>183</v>
      </c>
      <c r="F10" s="458"/>
      <c r="G10" s="458"/>
      <c r="H10" s="458"/>
    </row>
    <row r="11" spans="1:8" ht="46.05" customHeight="1">
      <c r="A11" s="460" t="s">
        <v>184</v>
      </c>
      <c r="B11" s="460"/>
      <c r="C11" s="460"/>
      <c r="D11" s="460"/>
      <c r="E11" s="460" t="s">
        <v>185</v>
      </c>
      <c r="F11" s="460"/>
      <c r="G11" s="460"/>
      <c r="H11" s="460"/>
    </row>
    <row r="12" spans="1:8" ht="73.95" customHeight="1">
      <c r="A12" s="460" t="s">
        <v>186</v>
      </c>
      <c r="B12" s="460"/>
      <c r="C12" s="460"/>
      <c r="D12" s="460"/>
      <c r="E12" s="460" t="s">
        <v>187</v>
      </c>
      <c r="F12" s="460"/>
      <c r="G12" s="460"/>
      <c r="H12" s="460"/>
    </row>
    <row r="13" spans="1:8" ht="40.049999999999997" customHeight="1">
      <c r="A13" s="460" t="s">
        <v>324</v>
      </c>
      <c r="B13" s="460"/>
      <c r="C13" s="460"/>
      <c r="D13" s="460"/>
      <c r="E13" s="460" t="s">
        <v>188</v>
      </c>
      <c r="F13" s="460"/>
      <c r="G13" s="460"/>
      <c r="H13" s="460"/>
    </row>
    <row r="14" spans="1:8" ht="37.950000000000003" customHeight="1">
      <c r="A14" s="460" t="s">
        <v>189</v>
      </c>
      <c r="B14" s="460"/>
      <c r="C14" s="460"/>
      <c r="D14" s="460"/>
      <c r="E14" s="460" t="s">
        <v>190</v>
      </c>
      <c r="F14" s="460"/>
      <c r="G14" s="460"/>
      <c r="H14" s="460"/>
    </row>
    <row r="15" spans="1:8" ht="37.950000000000003" customHeight="1">
      <c r="A15" s="460" t="s">
        <v>191</v>
      </c>
      <c r="B15" s="460"/>
      <c r="C15" s="460"/>
      <c r="D15" s="460"/>
      <c r="E15" s="460" t="s">
        <v>190</v>
      </c>
      <c r="F15" s="460"/>
      <c r="G15" s="460"/>
      <c r="H15" s="460"/>
    </row>
    <row r="16" spans="1:8" ht="37.950000000000003" customHeight="1">
      <c r="A16" s="460" t="s">
        <v>192</v>
      </c>
      <c r="B16" s="460"/>
      <c r="C16" s="460"/>
      <c r="D16" s="460"/>
      <c r="E16" s="460" t="s">
        <v>190</v>
      </c>
      <c r="F16" s="460"/>
      <c r="G16" s="460"/>
      <c r="H16" s="460"/>
    </row>
    <row r="17" spans="1:8" ht="46.05" customHeight="1">
      <c r="A17" s="459" t="s">
        <v>193</v>
      </c>
      <c r="B17" s="459"/>
      <c r="C17" s="459"/>
      <c r="D17" s="459"/>
      <c r="E17" s="459" t="s">
        <v>190</v>
      </c>
      <c r="F17" s="459"/>
      <c r="G17" s="459"/>
      <c r="H17" s="459"/>
    </row>
    <row r="18" spans="1:8" ht="24" customHeight="1">
      <c r="A18" s="462" t="s">
        <v>172</v>
      </c>
      <c r="B18" s="462"/>
      <c r="C18" s="462"/>
      <c r="D18" s="462"/>
      <c r="E18" s="462"/>
      <c r="F18" s="462"/>
      <c r="G18" s="462"/>
      <c r="H18" s="462"/>
    </row>
    <row r="19" spans="1:8" ht="28.05" customHeight="1">
      <c r="A19" s="457" t="s">
        <v>173</v>
      </c>
      <c r="B19" s="457"/>
      <c r="C19" s="457"/>
      <c r="D19" s="457"/>
      <c r="E19" s="457"/>
      <c r="F19" s="457"/>
      <c r="G19" s="457"/>
      <c r="H19" s="457"/>
    </row>
    <row r="20" spans="1:8" ht="43.95" customHeight="1">
      <c r="A20" s="182" t="s">
        <v>126</v>
      </c>
      <c r="B20" s="182" t="s">
        <v>127</v>
      </c>
      <c r="C20" s="182" t="s">
        <v>128</v>
      </c>
      <c r="D20" s="182" t="s">
        <v>129</v>
      </c>
      <c r="E20" s="182" t="s">
        <v>174</v>
      </c>
      <c r="F20" s="182" t="s">
        <v>175</v>
      </c>
      <c r="G20" s="182" t="s">
        <v>176</v>
      </c>
      <c r="H20" s="182" t="s">
        <v>177</v>
      </c>
    </row>
    <row r="21" spans="1:8" ht="25.95" customHeight="1">
      <c r="A21" s="360" t="s">
        <v>134</v>
      </c>
      <c r="B21" s="360" t="s">
        <v>48</v>
      </c>
      <c r="C21" s="361">
        <v>10</v>
      </c>
      <c r="D21" s="361">
        <v>2</v>
      </c>
      <c r="E21" s="362">
        <v>5</v>
      </c>
      <c r="F21" s="362"/>
      <c r="G21" s="362"/>
      <c r="H21" s="361"/>
    </row>
    <row r="22" spans="1:8" ht="25.95" customHeight="1">
      <c r="A22" s="363" t="s">
        <v>135</v>
      </c>
      <c r="B22" s="363" t="s">
        <v>70</v>
      </c>
      <c r="C22" s="364">
        <v>10</v>
      </c>
      <c r="D22" s="364">
        <v>7.5</v>
      </c>
      <c r="E22" s="365">
        <v>6</v>
      </c>
      <c r="F22" s="365"/>
      <c r="G22" s="365"/>
      <c r="H22" s="364"/>
    </row>
    <row r="23" spans="1:8" ht="25.95" customHeight="1">
      <c r="A23" s="363" t="s">
        <v>136</v>
      </c>
      <c r="B23" s="363" t="s">
        <v>54</v>
      </c>
      <c r="C23" s="364">
        <v>10</v>
      </c>
      <c r="D23" s="364">
        <v>3</v>
      </c>
      <c r="E23" s="365">
        <v>3</v>
      </c>
      <c r="F23" s="365"/>
      <c r="G23" s="365"/>
      <c r="H23" s="364"/>
    </row>
    <row r="24" spans="1:8" ht="25.95" customHeight="1">
      <c r="A24" s="363" t="s">
        <v>137</v>
      </c>
      <c r="B24" s="363" t="s">
        <v>61</v>
      </c>
      <c r="C24" s="364">
        <v>10</v>
      </c>
      <c r="D24" s="364">
        <v>5</v>
      </c>
      <c r="E24" s="365">
        <v>2</v>
      </c>
      <c r="F24" s="365"/>
      <c r="G24" s="365"/>
      <c r="H24" s="364"/>
    </row>
    <row r="25" spans="1:8" ht="25.95" customHeight="1">
      <c r="A25" s="363" t="s">
        <v>138</v>
      </c>
      <c r="B25" s="363" t="s">
        <v>61</v>
      </c>
      <c r="C25" s="364">
        <v>10</v>
      </c>
      <c r="D25" s="364">
        <v>5</v>
      </c>
      <c r="E25" s="365">
        <v>4</v>
      </c>
      <c r="F25" s="365"/>
      <c r="G25" s="365"/>
      <c r="H25" s="364"/>
    </row>
    <row r="26" spans="1:8" ht="25.95" customHeight="1">
      <c r="A26" s="363" t="s">
        <v>139</v>
      </c>
      <c r="B26" s="363" t="s">
        <v>57</v>
      </c>
      <c r="C26" s="364">
        <v>10</v>
      </c>
      <c r="D26" s="364">
        <v>3</v>
      </c>
      <c r="E26" s="365">
        <v>8</v>
      </c>
      <c r="F26" s="365"/>
      <c r="G26" s="365"/>
      <c r="H26" s="364"/>
    </row>
    <row r="27" spans="1:8" ht="25.95" customHeight="1">
      <c r="A27" s="363"/>
      <c r="B27" s="363"/>
      <c r="C27" s="364"/>
      <c r="D27" s="364"/>
      <c r="E27" s="365"/>
      <c r="F27" s="365"/>
      <c r="G27" s="365"/>
      <c r="H27" s="364"/>
    </row>
    <row r="28" spans="1:8" ht="25.95" customHeight="1">
      <c r="A28" s="363"/>
      <c r="B28" s="363"/>
      <c r="C28" s="364"/>
      <c r="D28" s="364"/>
      <c r="E28" s="365"/>
      <c r="F28" s="365"/>
      <c r="G28" s="365"/>
      <c r="H28" s="364"/>
    </row>
    <row r="29" spans="1:8" ht="25.95" customHeight="1">
      <c r="A29" s="363"/>
      <c r="B29" s="363"/>
      <c r="C29" s="364"/>
      <c r="D29" s="364"/>
      <c r="E29" s="365"/>
      <c r="F29" s="365"/>
      <c r="G29" s="365"/>
      <c r="H29" s="364"/>
    </row>
    <row r="30" spans="1:8" ht="25.95" customHeight="1">
      <c r="A30" s="366"/>
      <c r="B30" s="366"/>
      <c r="C30" s="367"/>
      <c r="D30" s="367"/>
      <c r="E30" s="368"/>
      <c r="F30" s="368"/>
      <c r="G30" s="368"/>
      <c r="H30" s="367"/>
    </row>
    <row r="31" spans="1:8" ht="10.050000000000001" customHeight="1">
      <c r="A31" s="331"/>
      <c r="B31" s="331"/>
      <c r="C31" s="331"/>
      <c r="D31" s="331"/>
      <c r="E31" s="331"/>
      <c r="F31" s="331"/>
      <c r="G31" s="331"/>
      <c r="H31" s="331"/>
    </row>
    <row r="32" spans="1:8" ht="28.05" customHeight="1">
      <c r="A32" s="457" t="s">
        <v>178</v>
      </c>
      <c r="B32" s="457"/>
      <c r="C32" s="457"/>
      <c r="D32" s="457"/>
      <c r="E32" s="457"/>
      <c r="F32" s="457"/>
      <c r="G32" s="457"/>
      <c r="H32" s="457"/>
    </row>
    <row r="33" spans="1:8" ht="31.95" customHeight="1">
      <c r="A33" s="458" t="s">
        <v>338</v>
      </c>
      <c r="B33" s="458"/>
      <c r="C33" s="458"/>
      <c r="D33" s="458"/>
      <c r="E33" s="458"/>
      <c r="F33" s="458"/>
      <c r="G33" s="458"/>
      <c r="H33" s="458"/>
    </row>
    <row r="34" spans="1:8" ht="24" customHeight="1">
      <c r="A34" s="458" t="s">
        <v>339</v>
      </c>
      <c r="B34" s="458"/>
      <c r="C34" s="458"/>
      <c r="D34" s="458"/>
      <c r="E34" s="458"/>
      <c r="F34" s="458"/>
      <c r="G34" s="458"/>
      <c r="H34" s="458"/>
    </row>
    <row r="35" spans="1:8" ht="24" customHeight="1">
      <c r="A35" s="458" t="s">
        <v>340</v>
      </c>
      <c r="B35" s="458"/>
      <c r="C35" s="458"/>
      <c r="D35" s="458"/>
      <c r="E35" s="458"/>
      <c r="F35" s="458"/>
      <c r="G35" s="458"/>
      <c r="H35" s="458"/>
    </row>
    <row r="36" spans="1:8" ht="24" customHeight="1">
      <c r="A36" s="458" t="s">
        <v>341</v>
      </c>
      <c r="B36" s="458"/>
      <c r="C36" s="458"/>
      <c r="D36" s="458"/>
      <c r="E36" s="458"/>
      <c r="F36" s="458"/>
      <c r="G36" s="458"/>
      <c r="H36" s="458"/>
    </row>
    <row r="37" spans="1:8" ht="10.050000000000001" customHeight="1">
      <c r="A37" s="331"/>
      <c r="B37" s="331"/>
      <c r="C37" s="331"/>
      <c r="D37" s="331"/>
      <c r="E37" s="331"/>
      <c r="F37" s="331"/>
      <c r="G37" s="331"/>
      <c r="H37" s="331"/>
    </row>
    <row r="38" spans="1:8" ht="10.050000000000001" customHeight="1">
      <c r="A38" s="331"/>
      <c r="B38" s="331"/>
      <c r="C38" s="331"/>
      <c r="D38" s="331"/>
      <c r="E38" s="331"/>
      <c r="F38" s="331"/>
      <c r="G38" s="331"/>
      <c r="H38" s="331"/>
    </row>
    <row r="39" spans="1:8" ht="24" customHeight="1">
      <c r="A39" s="462" t="s">
        <v>342</v>
      </c>
      <c r="B39" s="462"/>
      <c r="C39" s="462"/>
      <c r="D39" s="462"/>
      <c r="E39" s="462"/>
      <c r="F39" s="462"/>
      <c r="G39" s="462"/>
      <c r="H39" s="462"/>
    </row>
    <row r="40" spans="1:8" ht="25.95" customHeight="1">
      <c r="A40" s="466" t="s">
        <v>194</v>
      </c>
      <c r="B40" s="466"/>
      <c r="C40" s="466"/>
      <c r="D40" s="466"/>
      <c r="E40" s="466"/>
      <c r="F40" s="466"/>
      <c r="G40" s="466"/>
      <c r="H40" s="466"/>
    </row>
    <row r="41" spans="1:8" ht="18" customHeight="1">
      <c r="A41" s="239"/>
      <c r="B41" s="239"/>
      <c r="C41" s="239"/>
      <c r="D41" s="239"/>
      <c r="E41" s="239"/>
      <c r="F41" s="239"/>
      <c r="G41" s="239"/>
      <c r="H41" s="239"/>
    </row>
    <row r="42" spans="1:8" ht="18" customHeight="1">
      <c r="A42" s="239"/>
      <c r="B42" s="239"/>
      <c r="C42" s="239"/>
      <c r="D42" s="239"/>
      <c r="E42" s="239"/>
      <c r="F42" s="239"/>
      <c r="G42" s="239"/>
      <c r="H42" s="239"/>
    </row>
    <row r="43" spans="1:8" ht="18" customHeight="1">
      <c r="A43" s="239"/>
      <c r="B43" s="239"/>
      <c r="C43" s="239"/>
      <c r="D43" s="239"/>
      <c r="E43" s="239"/>
      <c r="F43" s="239"/>
      <c r="G43" s="239"/>
      <c r="H43" s="239"/>
    </row>
    <row r="44" spans="1:8" ht="18" customHeight="1">
      <c r="A44" s="239"/>
      <c r="B44" s="239"/>
      <c r="C44" s="239"/>
      <c r="D44" s="239"/>
      <c r="E44" s="239"/>
      <c r="F44" s="239"/>
      <c r="G44" s="239"/>
      <c r="H44" s="239"/>
    </row>
    <row r="45" spans="1:8" ht="18" customHeight="1">
      <c r="A45" s="239"/>
      <c r="B45" s="239"/>
      <c r="C45" s="239"/>
      <c r="D45" s="239"/>
      <c r="E45" s="239"/>
      <c r="F45" s="239"/>
      <c r="G45" s="239"/>
      <c r="H45" s="239"/>
    </row>
    <row r="46" spans="1:8" ht="18" customHeight="1">
      <c r="A46" s="239"/>
      <c r="B46" s="239"/>
      <c r="C46" s="239"/>
      <c r="D46" s="239"/>
      <c r="E46" s="239"/>
      <c r="F46" s="239"/>
      <c r="G46" s="239"/>
      <c r="H46" s="239"/>
    </row>
    <row r="47" spans="1:8" ht="18" customHeight="1">
      <c r="A47" s="239"/>
      <c r="B47" s="239"/>
      <c r="C47" s="239"/>
      <c r="D47" s="239"/>
      <c r="E47" s="239"/>
      <c r="F47" s="239"/>
      <c r="G47" s="239"/>
      <c r="H47" s="239"/>
    </row>
    <row r="48" spans="1:8" ht="18" customHeight="1">
      <c r="A48" s="239"/>
      <c r="B48" s="239"/>
      <c r="C48" s="239"/>
      <c r="D48" s="239"/>
      <c r="E48" s="239"/>
      <c r="F48" s="239"/>
      <c r="G48" s="239"/>
      <c r="H48" s="239"/>
    </row>
    <row r="49" spans="1:8" ht="18" customHeight="1">
      <c r="A49" s="239"/>
      <c r="B49" s="239"/>
      <c r="C49" s="239"/>
      <c r="D49" s="239"/>
      <c r="E49" s="239"/>
      <c r="F49" s="239"/>
      <c r="G49" s="239"/>
      <c r="H49" s="239"/>
    </row>
    <row r="50" spans="1:8" ht="18" customHeight="1">
      <c r="A50" s="239"/>
      <c r="B50" s="239"/>
      <c r="C50" s="239"/>
      <c r="D50" s="239"/>
      <c r="E50" s="239"/>
      <c r="F50" s="239"/>
      <c r="G50" s="239"/>
      <c r="H50" s="239"/>
    </row>
    <row r="51" spans="1:8" ht="18" customHeight="1">
      <c r="A51" s="239"/>
      <c r="B51" s="239"/>
      <c r="C51" s="239"/>
      <c r="D51" s="239"/>
      <c r="E51" s="239"/>
      <c r="F51" s="239"/>
      <c r="G51" s="239"/>
      <c r="H51" s="239"/>
    </row>
    <row r="52" spans="1:8" ht="18" customHeight="1">
      <c r="A52" s="239"/>
      <c r="B52" s="239"/>
      <c r="C52" s="239"/>
      <c r="D52" s="239"/>
      <c r="E52" s="239"/>
      <c r="F52" s="239"/>
      <c r="G52" s="239"/>
      <c r="H52" s="239"/>
    </row>
    <row r="53" spans="1:8" ht="18" customHeight="1">
      <c r="A53" s="239"/>
      <c r="B53" s="239"/>
      <c r="C53" s="239"/>
      <c r="D53" s="239"/>
      <c r="E53" s="239"/>
      <c r="F53" s="239"/>
      <c r="G53" s="239"/>
      <c r="H53" s="239"/>
    </row>
    <row r="54" spans="1:8" ht="18" customHeight="1">
      <c r="A54" s="239"/>
      <c r="B54" s="239"/>
      <c r="C54" s="239"/>
      <c r="D54" s="239"/>
      <c r="E54" s="239"/>
      <c r="F54" s="239"/>
      <c r="G54" s="239"/>
      <c r="H54" s="239"/>
    </row>
    <row r="55" spans="1:8" ht="18" customHeight="1">
      <c r="A55" s="239"/>
      <c r="B55" s="239"/>
      <c r="C55" s="239"/>
      <c r="D55" s="239"/>
      <c r="E55" s="239"/>
      <c r="F55" s="239"/>
      <c r="G55" s="239"/>
      <c r="H55" s="239"/>
    </row>
    <row r="56" spans="1:8" ht="18" customHeight="1">
      <c r="A56" s="239"/>
      <c r="B56" s="239"/>
      <c r="C56" s="239"/>
      <c r="D56" s="239"/>
      <c r="E56" s="239"/>
      <c r="F56" s="239"/>
      <c r="G56" s="239"/>
      <c r="H56" s="239"/>
    </row>
    <row r="57" spans="1:8" ht="18" customHeight="1">
      <c r="A57" s="239"/>
      <c r="B57" s="239"/>
      <c r="C57" s="239"/>
      <c r="D57" s="239"/>
      <c r="E57" s="239"/>
      <c r="F57" s="239"/>
      <c r="G57" s="239"/>
      <c r="H57" s="239"/>
    </row>
    <row r="58" spans="1:8" ht="18" customHeight="1">
      <c r="A58" s="239"/>
      <c r="B58" s="239"/>
      <c r="C58" s="239"/>
      <c r="D58" s="239"/>
      <c r="E58" s="239"/>
      <c r="F58" s="239"/>
      <c r="G58" s="239"/>
      <c r="H58" s="239"/>
    </row>
    <row r="59" spans="1:8" ht="18" customHeight="1">
      <c r="A59" s="239"/>
      <c r="B59" s="239"/>
      <c r="C59" s="239"/>
      <c r="D59" s="239"/>
      <c r="E59" s="239"/>
      <c r="F59" s="239"/>
      <c r="G59" s="239"/>
      <c r="H59" s="239"/>
    </row>
    <row r="60" spans="1:8" ht="18" customHeight="1">
      <c r="A60" s="239"/>
      <c r="B60" s="239"/>
      <c r="C60" s="239"/>
      <c r="D60" s="239"/>
      <c r="E60" s="239"/>
      <c r="F60" s="239"/>
      <c r="G60" s="239"/>
      <c r="H60" s="239"/>
    </row>
    <row r="61" spans="1:8" ht="18" customHeight="1">
      <c r="A61" s="239"/>
      <c r="B61" s="239"/>
      <c r="C61" s="239"/>
      <c r="D61" s="239"/>
      <c r="E61" s="239"/>
      <c r="F61" s="239"/>
      <c r="G61" s="239"/>
      <c r="H61" s="239"/>
    </row>
    <row r="62" spans="1:8" ht="18" customHeight="1">
      <c r="A62" s="239"/>
      <c r="B62" s="239"/>
      <c r="C62" s="239"/>
      <c r="D62" s="239"/>
      <c r="E62" s="239"/>
      <c r="F62" s="239"/>
      <c r="G62" s="239"/>
      <c r="H62" s="239"/>
    </row>
    <row r="63" spans="1:8" ht="18" customHeight="1">
      <c r="A63" s="239"/>
      <c r="B63" s="239"/>
      <c r="C63" s="239"/>
      <c r="D63" s="239"/>
      <c r="E63" s="239"/>
      <c r="F63" s="239"/>
      <c r="G63" s="239"/>
      <c r="H63" s="239"/>
    </row>
    <row r="64" spans="1:8" ht="18" customHeight="1">
      <c r="A64" s="239"/>
      <c r="B64" s="239"/>
      <c r="C64" s="239"/>
      <c r="D64" s="239"/>
      <c r="E64" s="239"/>
      <c r="F64" s="239"/>
      <c r="G64" s="239"/>
      <c r="H64" s="239"/>
    </row>
    <row r="65" spans="1:8" ht="18" customHeight="1">
      <c r="A65" s="239"/>
      <c r="B65" s="239"/>
      <c r="C65" s="239"/>
      <c r="D65" s="239"/>
      <c r="E65" s="239"/>
      <c r="F65" s="239"/>
      <c r="G65" s="239"/>
      <c r="H65" s="239"/>
    </row>
    <row r="66" spans="1:8" ht="18" customHeight="1">
      <c r="A66" s="239"/>
      <c r="B66" s="239"/>
      <c r="C66" s="239"/>
      <c r="D66" s="239"/>
      <c r="E66" s="239"/>
      <c r="F66" s="239"/>
      <c r="G66" s="239"/>
      <c r="H66" s="239"/>
    </row>
    <row r="67" spans="1:8" ht="18" customHeight="1">
      <c r="A67" s="239"/>
      <c r="B67" s="239"/>
      <c r="C67" s="239"/>
      <c r="D67" s="239"/>
      <c r="E67" s="239"/>
      <c r="F67" s="239"/>
      <c r="G67" s="239"/>
      <c r="H67" s="239"/>
    </row>
    <row r="68" spans="1:8" ht="18" customHeight="1">
      <c r="A68" s="239"/>
      <c r="B68" s="239"/>
      <c r="C68" s="239"/>
      <c r="D68" s="239"/>
      <c r="E68" s="239"/>
      <c r="F68" s="239"/>
      <c r="G68" s="239"/>
      <c r="H68" s="239"/>
    </row>
    <row r="69" spans="1:8" ht="18" customHeight="1">
      <c r="A69" s="239"/>
      <c r="B69" s="239"/>
      <c r="C69" s="239"/>
      <c r="D69" s="239"/>
      <c r="E69" s="239"/>
      <c r="F69" s="239"/>
      <c r="G69" s="239"/>
      <c r="H69" s="239"/>
    </row>
    <row r="70" spans="1:8" ht="18" customHeight="1">
      <c r="A70" s="239"/>
      <c r="B70" s="239"/>
      <c r="C70" s="239"/>
      <c r="D70" s="239"/>
      <c r="E70" s="239"/>
      <c r="F70" s="239"/>
      <c r="G70" s="239"/>
      <c r="H70" s="239"/>
    </row>
    <row r="71" spans="1:8" ht="18" customHeight="1">
      <c r="A71" s="239"/>
      <c r="B71" s="239"/>
      <c r="C71" s="239"/>
      <c r="D71" s="239"/>
      <c r="E71" s="239"/>
      <c r="F71" s="239"/>
      <c r="G71" s="239"/>
      <c r="H71" s="239"/>
    </row>
    <row r="72" spans="1:8" ht="18" customHeight="1">
      <c r="A72" s="239"/>
      <c r="B72" s="239"/>
      <c r="C72" s="239"/>
      <c r="D72" s="239"/>
      <c r="E72" s="239"/>
      <c r="F72" s="239"/>
      <c r="G72" s="239"/>
      <c r="H72" s="239"/>
    </row>
    <row r="73" spans="1:8" ht="18" customHeight="1">
      <c r="A73" s="239"/>
      <c r="B73" s="239"/>
      <c r="C73" s="239"/>
      <c r="D73" s="239"/>
      <c r="E73" s="239"/>
      <c r="F73" s="239"/>
      <c r="G73" s="239"/>
      <c r="H73" s="239"/>
    </row>
    <row r="74" spans="1:8" ht="18" customHeight="1">
      <c r="A74" s="239"/>
      <c r="B74" s="239"/>
      <c r="C74" s="239"/>
      <c r="D74" s="239"/>
      <c r="E74" s="239"/>
      <c r="F74" s="239"/>
      <c r="G74" s="239"/>
      <c r="H74" s="239"/>
    </row>
    <row r="75" spans="1:8" ht="18" customHeight="1">
      <c r="A75" s="239"/>
      <c r="B75" s="239"/>
      <c r="C75" s="239"/>
      <c r="D75" s="239"/>
      <c r="E75" s="239"/>
      <c r="F75" s="239"/>
      <c r="G75" s="239"/>
      <c r="H75" s="239"/>
    </row>
    <row r="76" spans="1:8" ht="18" customHeight="1">
      <c r="A76" s="239"/>
      <c r="B76" s="239"/>
      <c r="C76" s="239"/>
      <c r="D76" s="239"/>
      <c r="E76" s="239"/>
      <c r="F76" s="239"/>
      <c r="G76" s="239"/>
      <c r="H76" s="239"/>
    </row>
    <row r="77" spans="1:8" ht="18" customHeight="1">
      <c r="A77" s="239"/>
      <c r="B77" s="239"/>
      <c r="C77" s="239"/>
      <c r="D77" s="239"/>
      <c r="E77" s="239"/>
      <c r="F77" s="239"/>
      <c r="G77" s="239"/>
      <c r="H77" s="239"/>
    </row>
    <row r="78" spans="1:8" ht="18" customHeight="1">
      <c r="A78" s="239"/>
      <c r="B78" s="239"/>
      <c r="C78" s="239"/>
      <c r="D78" s="239"/>
      <c r="E78" s="239"/>
      <c r="F78" s="239"/>
      <c r="G78" s="239"/>
      <c r="H78" s="239"/>
    </row>
    <row r="79" spans="1:8" ht="18" customHeight="1">
      <c r="A79" s="239"/>
      <c r="B79" s="239"/>
      <c r="C79" s="239"/>
      <c r="D79" s="239"/>
      <c r="E79" s="239"/>
      <c r="F79" s="239"/>
      <c r="G79" s="239"/>
      <c r="H79" s="239"/>
    </row>
    <row r="80" spans="1:8" ht="18" customHeight="1">
      <c r="A80" s="239"/>
      <c r="B80" s="239"/>
      <c r="C80" s="239"/>
      <c r="D80" s="239"/>
      <c r="E80" s="239"/>
      <c r="F80" s="239"/>
      <c r="G80" s="239"/>
      <c r="H80" s="239"/>
    </row>
    <row r="81" spans="1:8" ht="18" customHeight="1">
      <c r="A81" s="239"/>
      <c r="B81" s="239"/>
      <c r="C81" s="239"/>
      <c r="D81" s="239"/>
      <c r="E81" s="239"/>
      <c r="F81" s="239"/>
      <c r="G81" s="239"/>
      <c r="H81" s="239"/>
    </row>
    <row r="82" spans="1:8" ht="18" customHeight="1">
      <c r="A82" s="239"/>
      <c r="B82" s="239"/>
      <c r="C82" s="239"/>
      <c r="D82" s="239"/>
      <c r="E82" s="239"/>
      <c r="F82" s="239"/>
      <c r="G82" s="239"/>
      <c r="H82" s="239"/>
    </row>
    <row r="83" spans="1:8" ht="18" customHeight="1">
      <c r="A83" s="239"/>
      <c r="B83" s="239"/>
      <c r="C83" s="239"/>
      <c r="D83" s="239"/>
      <c r="E83" s="239"/>
      <c r="F83" s="239"/>
      <c r="G83" s="239"/>
      <c r="H83" s="239"/>
    </row>
    <row r="84" spans="1:8" ht="18" customHeight="1">
      <c r="A84" s="239"/>
      <c r="B84" s="239"/>
      <c r="C84" s="239"/>
      <c r="D84" s="239"/>
      <c r="E84" s="239"/>
      <c r="F84" s="239"/>
      <c r="G84" s="239"/>
      <c r="H84" s="239"/>
    </row>
    <row r="85" spans="1:8" ht="18" customHeight="1">
      <c r="A85" s="239"/>
      <c r="B85" s="239"/>
      <c r="C85" s="239"/>
      <c r="D85" s="239"/>
      <c r="E85" s="239"/>
      <c r="F85" s="239"/>
      <c r="G85" s="239"/>
      <c r="H85" s="239"/>
    </row>
    <row r="86" spans="1:8" ht="18" customHeight="1">
      <c r="A86" s="239"/>
      <c r="B86" s="239"/>
      <c r="C86" s="239"/>
      <c r="D86" s="239"/>
      <c r="E86" s="239"/>
      <c r="F86" s="239"/>
      <c r="G86" s="239"/>
      <c r="H86" s="239"/>
    </row>
    <row r="87" spans="1:8" ht="18" customHeight="1">
      <c r="A87" s="239"/>
      <c r="B87" s="239"/>
      <c r="C87" s="239"/>
      <c r="D87" s="239"/>
      <c r="E87" s="239"/>
      <c r="F87" s="239"/>
      <c r="G87" s="239"/>
      <c r="H87" s="239"/>
    </row>
    <row r="88" spans="1:8" ht="18" customHeight="1">
      <c r="A88" s="239"/>
      <c r="B88" s="239"/>
      <c r="C88" s="239"/>
      <c r="D88" s="239"/>
      <c r="E88" s="239"/>
      <c r="F88" s="239"/>
      <c r="G88" s="239"/>
      <c r="H88" s="239"/>
    </row>
    <row r="89" spans="1:8" ht="18" customHeight="1">
      <c r="A89" s="239"/>
      <c r="B89" s="239"/>
      <c r="C89" s="239"/>
      <c r="D89" s="239"/>
      <c r="E89" s="239"/>
      <c r="F89" s="239"/>
      <c r="G89" s="239"/>
      <c r="H89" s="239"/>
    </row>
    <row r="90" spans="1:8" ht="18" customHeight="1">
      <c r="A90" s="239"/>
      <c r="B90" s="239"/>
      <c r="C90" s="239"/>
      <c r="D90" s="239"/>
      <c r="E90" s="239"/>
      <c r="F90" s="239"/>
      <c r="G90" s="239"/>
      <c r="H90" s="239"/>
    </row>
    <row r="91" spans="1:8" ht="18" customHeight="1">
      <c r="A91" s="239"/>
      <c r="B91" s="239"/>
      <c r="C91" s="239"/>
      <c r="D91" s="239"/>
      <c r="E91" s="239"/>
      <c r="F91" s="239"/>
      <c r="G91" s="239"/>
      <c r="H91" s="239"/>
    </row>
    <row r="92" spans="1:8" ht="18" customHeight="1">
      <c r="A92" s="239"/>
      <c r="B92" s="239"/>
      <c r="C92" s="239"/>
      <c r="D92" s="239"/>
      <c r="E92" s="239"/>
      <c r="F92" s="239"/>
      <c r="G92" s="239"/>
      <c r="H92" s="239"/>
    </row>
    <row r="93" spans="1:8" ht="18" customHeight="1">
      <c r="A93" s="239"/>
      <c r="B93" s="239"/>
      <c r="C93" s="239"/>
      <c r="D93" s="239"/>
      <c r="E93" s="239"/>
      <c r="F93" s="239"/>
      <c r="G93" s="239"/>
      <c r="H93" s="239"/>
    </row>
    <row r="94" spans="1:8" ht="18" customHeight="1">
      <c r="A94" s="239"/>
      <c r="B94" s="239"/>
      <c r="C94" s="239"/>
      <c r="D94" s="239"/>
      <c r="E94" s="239"/>
      <c r="F94" s="239"/>
      <c r="G94" s="239"/>
      <c r="H94" s="239"/>
    </row>
    <row r="95" spans="1:8" ht="18" customHeight="1">
      <c r="A95" s="239"/>
      <c r="B95" s="239"/>
      <c r="C95" s="239"/>
      <c r="D95" s="239"/>
      <c r="E95" s="239"/>
      <c r="F95" s="239"/>
      <c r="G95" s="239"/>
      <c r="H95" s="239"/>
    </row>
    <row r="96" spans="1:8" ht="18" customHeight="1">
      <c r="A96" s="239"/>
      <c r="B96" s="239"/>
      <c r="C96" s="239"/>
      <c r="D96" s="239"/>
      <c r="E96" s="239"/>
      <c r="F96" s="239"/>
      <c r="G96" s="239"/>
      <c r="H96" s="239"/>
    </row>
    <row r="97" spans="1:8" ht="18" customHeight="1">
      <c r="A97" s="239"/>
      <c r="B97" s="239"/>
      <c r="C97" s="239"/>
      <c r="D97" s="239"/>
      <c r="E97" s="239"/>
      <c r="F97" s="239"/>
      <c r="G97" s="239"/>
      <c r="H97" s="239"/>
    </row>
    <row r="98" spans="1:8" ht="18" customHeight="1">
      <c r="A98" s="239"/>
      <c r="B98" s="239"/>
      <c r="C98" s="239"/>
      <c r="D98" s="239"/>
      <c r="E98" s="239"/>
      <c r="F98" s="239"/>
      <c r="G98" s="239"/>
      <c r="H98" s="239"/>
    </row>
    <row r="99" spans="1:8" ht="18" customHeight="1">
      <c r="A99" s="239"/>
      <c r="B99" s="239"/>
      <c r="C99" s="239"/>
      <c r="D99" s="239"/>
      <c r="E99" s="239"/>
      <c r="F99" s="239"/>
      <c r="G99" s="239"/>
      <c r="H99" s="239"/>
    </row>
    <row r="100" spans="1:8" ht="18" customHeight="1">
      <c r="A100" s="239"/>
      <c r="B100" s="239"/>
      <c r="C100" s="239"/>
      <c r="D100" s="239"/>
      <c r="E100" s="239"/>
      <c r="F100" s="239"/>
      <c r="G100" s="239"/>
      <c r="H100" s="239"/>
    </row>
    <row r="101" spans="1:8" ht="18" customHeight="1">
      <c r="A101" s="239"/>
      <c r="B101" s="239"/>
      <c r="C101" s="239"/>
      <c r="D101" s="239"/>
      <c r="E101" s="239"/>
      <c r="F101" s="239"/>
      <c r="G101" s="239"/>
      <c r="H101" s="239"/>
    </row>
    <row r="102" spans="1:8" ht="18" customHeight="1">
      <c r="A102" s="239"/>
      <c r="B102" s="239"/>
      <c r="C102" s="239"/>
      <c r="D102" s="239"/>
      <c r="E102" s="239"/>
      <c r="F102" s="239"/>
      <c r="G102" s="239"/>
      <c r="H102" s="239"/>
    </row>
    <row r="103" spans="1:8" ht="18" customHeight="1">
      <c r="A103" s="239"/>
      <c r="B103" s="239"/>
      <c r="C103" s="239"/>
      <c r="D103" s="239"/>
      <c r="E103" s="239"/>
      <c r="F103" s="239"/>
      <c r="G103" s="239"/>
      <c r="H103" s="239"/>
    </row>
    <row r="104" spans="1:8" ht="18" customHeight="1">
      <c r="A104" s="239"/>
      <c r="B104" s="239"/>
      <c r="C104" s="239"/>
      <c r="D104" s="239"/>
      <c r="E104" s="239"/>
      <c r="F104" s="239"/>
      <c r="G104" s="239"/>
      <c r="H104" s="239"/>
    </row>
    <row r="105" spans="1:8" ht="18" customHeight="1">
      <c r="A105" s="239"/>
      <c r="B105" s="239"/>
      <c r="C105" s="239"/>
      <c r="D105" s="239"/>
      <c r="E105" s="239"/>
      <c r="F105" s="239"/>
      <c r="G105" s="239"/>
      <c r="H105" s="239"/>
    </row>
    <row r="106" spans="1:8" ht="18" customHeight="1">
      <c r="A106" s="239"/>
      <c r="B106" s="239"/>
      <c r="C106" s="239"/>
      <c r="D106" s="239"/>
      <c r="E106" s="239"/>
      <c r="F106" s="239"/>
      <c r="G106" s="239"/>
      <c r="H106" s="239"/>
    </row>
    <row r="107" spans="1:8" ht="18" customHeight="1">
      <c r="A107" s="239"/>
      <c r="B107" s="239"/>
      <c r="C107" s="239"/>
      <c r="D107" s="239"/>
      <c r="E107" s="239"/>
      <c r="F107" s="239"/>
      <c r="G107" s="239"/>
      <c r="H107" s="239"/>
    </row>
    <row r="108" spans="1:8" ht="18" customHeight="1">
      <c r="A108" s="239"/>
      <c r="B108" s="239"/>
      <c r="C108" s="239"/>
      <c r="D108" s="239"/>
      <c r="E108" s="239"/>
      <c r="F108" s="239"/>
      <c r="G108" s="239"/>
      <c r="H108" s="239"/>
    </row>
    <row r="109" spans="1:8" ht="18" customHeight="1">
      <c r="A109" s="239"/>
      <c r="B109" s="239"/>
      <c r="C109" s="239"/>
      <c r="D109" s="239"/>
      <c r="E109" s="239"/>
      <c r="F109" s="239"/>
      <c r="G109" s="239"/>
      <c r="H109" s="239"/>
    </row>
    <row r="110" spans="1:8" ht="18" customHeight="1">
      <c r="A110" s="239"/>
      <c r="B110" s="239"/>
      <c r="C110" s="239"/>
      <c r="D110" s="239"/>
      <c r="E110" s="239"/>
      <c r="F110" s="239"/>
      <c r="G110" s="239"/>
      <c r="H110" s="239"/>
    </row>
    <row r="111" spans="1:8" ht="18" customHeight="1">
      <c r="A111" s="239"/>
      <c r="B111" s="239"/>
      <c r="C111" s="239"/>
      <c r="D111" s="239"/>
      <c r="E111" s="239"/>
      <c r="F111" s="239"/>
      <c r="G111" s="239"/>
      <c r="H111" s="239"/>
    </row>
    <row r="112" spans="1:8" ht="18" customHeight="1">
      <c r="A112" s="239"/>
      <c r="B112" s="239"/>
      <c r="C112" s="239"/>
      <c r="D112" s="239"/>
      <c r="E112" s="239"/>
      <c r="F112" s="239"/>
      <c r="G112" s="239"/>
      <c r="H112" s="239"/>
    </row>
    <row r="113" spans="1:8" ht="18" customHeight="1">
      <c r="A113" s="239"/>
      <c r="B113" s="239"/>
      <c r="C113" s="239"/>
      <c r="D113" s="239"/>
      <c r="E113" s="239"/>
      <c r="F113" s="239"/>
      <c r="G113" s="239"/>
      <c r="H113" s="239"/>
    </row>
    <row r="114" spans="1:8" ht="18" customHeight="1">
      <c r="A114" s="239"/>
      <c r="B114" s="239"/>
      <c r="C114" s="239"/>
      <c r="D114" s="239"/>
      <c r="E114" s="239"/>
      <c r="F114" s="239"/>
      <c r="G114" s="239"/>
      <c r="H114" s="239"/>
    </row>
    <row r="115" spans="1:8" ht="18" customHeight="1">
      <c r="A115" s="239"/>
      <c r="B115" s="239"/>
      <c r="C115" s="239"/>
      <c r="D115" s="239"/>
      <c r="E115" s="239"/>
      <c r="F115" s="239"/>
      <c r="G115" s="239"/>
      <c r="H115" s="239"/>
    </row>
    <row r="116" spans="1:8" ht="18" customHeight="1">
      <c r="A116" s="239"/>
      <c r="B116" s="239"/>
      <c r="C116" s="239"/>
      <c r="D116" s="239"/>
      <c r="E116" s="239"/>
      <c r="F116" s="239"/>
      <c r="G116" s="239"/>
      <c r="H116" s="239"/>
    </row>
    <row r="117" spans="1:8" ht="18" customHeight="1">
      <c r="A117" s="239"/>
      <c r="B117" s="239"/>
      <c r="C117" s="239"/>
      <c r="D117" s="239"/>
      <c r="E117" s="239"/>
      <c r="F117" s="239"/>
      <c r="G117" s="239"/>
      <c r="H117" s="239"/>
    </row>
    <row r="118" spans="1:8" ht="18" customHeight="1">
      <c r="A118" s="239"/>
      <c r="B118" s="239"/>
      <c r="C118" s="239"/>
      <c r="D118" s="239"/>
      <c r="E118" s="239"/>
      <c r="F118" s="239"/>
      <c r="G118" s="239"/>
      <c r="H118" s="239"/>
    </row>
    <row r="119" spans="1:8" ht="18" customHeight="1">
      <c r="A119" s="239"/>
      <c r="B119" s="239"/>
      <c r="C119" s="239"/>
      <c r="D119" s="239"/>
      <c r="E119" s="239"/>
      <c r="F119" s="239"/>
      <c r="G119" s="239"/>
      <c r="H119" s="239"/>
    </row>
    <row r="120" spans="1:8" ht="18" customHeight="1">
      <c r="A120" s="239"/>
      <c r="B120" s="239"/>
      <c r="C120" s="239"/>
      <c r="D120" s="239"/>
      <c r="E120" s="239"/>
      <c r="F120" s="239"/>
      <c r="G120" s="239"/>
      <c r="H120" s="239"/>
    </row>
    <row r="121" spans="1:8" ht="18" customHeight="1">
      <c r="A121" s="239"/>
      <c r="B121" s="239"/>
      <c r="C121" s="239"/>
      <c r="D121" s="239"/>
      <c r="E121" s="239"/>
      <c r="F121" s="239"/>
      <c r="G121" s="239"/>
      <c r="H121" s="239"/>
    </row>
    <row r="122" spans="1:8" ht="18" customHeight="1">
      <c r="A122" s="239"/>
      <c r="B122" s="239"/>
      <c r="C122" s="239"/>
      <c r="D122" s="239"/>
      <c r="E122" s="239"/>
      <c r="F122" s="239"/>
      <c r="G122" s="239"/>
      <c r="H122" s="239"/>
    </row>
    <row r="123" spans="1:8" ht="18" customHeight="1">
      <c r="A123" s="239"/>
      <c r="B123" s="239"/>
      <c r="C123" s="239"/>
      <c r="D123" s="239"/>
      <c r="E123" s="239"/>
      <c r="F123" s="239"/>
      <c r="G123" s="239"/>
      <c r="H123" s="239"/>
    </row>
    <row r="124" spans="1:8" ht="18" customHeight="1">
      <c r="A124" s="239"/>
      <c r="B124" s="239"/>
      <c r="C124" s="239"/>
      <c r="D124" s="239"/>
      <c r="E124" s="239"/>
      <c r="F124" s="239"/>
      <c r="G124" s="239"/>
      <c r="H124" s="239"/>
    </row>
    <row r="125" spans="1:8" ht="18" customHeight="1">
      <c r="A125" s="239"/>
      <c r="B125" s="239"/>
      <c r="C125" s="239"/>
      <c r="D125" s="239"/>
      <c r="E125" s="239"/>
      <c r="F125" s="239"/>
      <c r="G125" s="239"/>
      <c r="H125" s="239"/>
    </row>
    <row r="126" spans="1:8" ht="18" customHeight="1">
      <c r="A126" s="239"/>
      <c r="B126" s="239"/>
      <c r="C126" s="239"/>
      <c r="D126" s="239"/>
      <c r="E126" s="239"/>
      <c r="F126" s="239"/>
      <c r="G126" s="239"/>
      <c r="H126" s="239"/>
    </row>
    <row r="127" spans="1:8" ht="18" customHeight="1">
      <c r="A127" s="239"/>
      <c r="B127" s="239"/>
      <c r="C127" s="239"/>
      <c r="D127" s="239"/>
      <c r="E127" s="239"/>
      <c r="F127" s="239"/>
      <c r="G127" s="239"/>
      <c r="H127" s="239"/>
    </row>
    <row r="128" spans="1:8" ht="18" customHeight="1">
      <c r="A128" s="239"/>
      <c r="B128" s="239"/>
      <c r="C128" s="239"/>
      <c r="D128" s="239"/>
      <c r="E128" s="239"/>
      <c r="F128" s="239"/>
      <c r="G128" s="239"/>
      <c r="H128" s="239"/>
    </row>
    <row r="129" spans="1:8" ht="18" customHeight="1">
      <c r="A129" s="239"/>
      <c r="B129" s="239"/>
      <c r="C129" s="239"/>
      <c r="D129" s="239"/>
      <c r="E129" s="239"/>
      <c r="F129" s="239"/>
      <c r="G129" s="239"/>
      <c r="H129" s="239"/>
    </row>
    <row r="130" spans="1:8" ht="18" customHeight="1">
      <c r="A130" s="239"/>
      <c r="B130" s="239"/>
      <c r="C130" s="239"/>
      <c r="D130" s="239"/>
      <c r="E130" s="239"/>
      <c r="F130" s="239"/>
      <c r="G130" s="239"/>
      <c r="H130" s="239"/>
    </row>
    <row r="131" spans="1:8" ht="18" customHeight="1">
      <c r="A131" s="239"/>
      <c r="B131" s="239"/>
      <c r="C131" s="239"/>
      <c r="D131" s="239"/>
      <c r="E131" s="239"/>
      <c r="F131" s="239"/>
      <c r="G131" s="239"/>
      <c r="H131" s="239"/>
    </row>
    <row r="132" spans="1:8" ht="18" customHeight="1">
      <c r="A132" s="239"/>
      <c r="B132" s="239"/>
      <c r="C132" s="239"/>
      <c r="D132" s="239"/>
      <c r="E132" s="239"/>
      <c r="F132" s="239"/>
      <c r="G132" s="239"/>
      <c r="H132" s="239"/>
    </row>
    <row r="133" spans="1:8" ht="18" customHeight="1">
      <c r="A133" s="239"/>
      <c r="B133" s="239"/>
      <c r="C133" s="239"/>
      <c r="D133" s="239"/>
      <c r="E133" s="239"/>
      <c r="F133" s="239"/>
      <c r="G133" s="239"/>
      <c r="H133" s="239"/>
    </row>
    <row r="134" spans="1:8" ht="18" customHeight="1">
      <c r="A134" s="239"/>
      <c r="B134" s="239"/>
      <c r="C134" s="239"/>
      <c r="D134" s="239"/>
      <c r="E134" s="239"/>
      <c r="F134" s="239"/>
      <c r="G134" s="239"/>
      <c r="H134" s="239"/>
    </row>
    <row r="135" spans="1:8" ht="18" customHeight="1">
      <c r="A135" s="239"/>
      <c r="B135" s="239"/>
      <c r="C135" s="239"/>
      <c r="D135" s="239"/>
      <c r="E135" s="239"/>
      <c r="F135" s="239"/>
      <c r="G135" s="239"/>
      <c r="H135" s="239"/>
    </row>
    <row r="136" spans="1:8" ht="18" customHeight="1">
      <c r="A136" s="239"/>
      <c r="B136" s="239"/>
      <c r="C136" s="239"/>
      <c r="D136" s="239"/>
      <c r="E136" s="239"/>
      <c r="F136" s="239"/>
      <c r="G136" s="239"/>
      <c r="H136" s="239"/>
    </row>
    <row r="137" spans="1:8" ht="18" customHeight="1">
      <c r="A137" s="239"/>
      <c r="B137" s="239"/>
      <c r="C137" s="239"/>
      <c r="D137" s="239"/>
      <c r="E137" s="239"/>
      <c r="F137" s="239"/>
      <c r="G137" s="239"/>
      <c r="H137" s="239"/>
    </row>
    <row r="138" spans="1:8" ht="18" customHeight="1">
      <c r="A138" s="239"/>
      <c r="B138" s="239"/>
      <c r="C138" s="239"/>
      <c r="D138" s="239"/>
      <c r="E138" s="239"/>
      <c r="F138" s="239"/>
      <c r="G138" s="239"/>
      <c r="H138" s="239"/>
    </row>
    <row r="139" spans="1:8" ht="18" customHeight="1">
      <c r="A139" s="239"/>
      <c r="B139" s="239"/>
      <c r="C139" s="239"/>
      <c r="D139" s="239"/>
      <c r="E139" s="239"/>
      <c r="F139" s="239"/>
      <c r="G139" s="239"/>
      <c r="H139" s="239"/>
    </row>
    <row r="140" spans="1:8" ht="18" customHeight="1">
      <c r="A140" s="239"/>
      <c r="B140" s="239"/>
      <c r="C140" s="239"/>
      <c r="D140" s="239"/>
      <c r="E140" s="239"/>
      <c r="F140" s="239"/>
      <c r="G140" s="239"/>
      <c r="H140" s="239"/>
    </row>
    <row r="141" spans="1:8" ht="18" customHeight="1">
      <c r="A141" s="239"/>
      <c r="B141" s="239"/>
      <c r="C141" s="239"/>
      <c r="D141" s="239"/>
      <c r="E141" s="239"/>
      <c r="F141" s="239"/>
      <c r="G141" s="239"/>
      <c r="H141" s="239"/>
    </row>
    <row r="142" spans="1:8" ht="18" customHeight="1">
      <c r="A142" s="239"/>
      <c r="B142" s="239"/>
      <c r="C142" s="239"/>
      <c r="D142" s="239"/>
      <c r="E142" s="239"/>
      <c r="F142" s="239"/>
      <c r="G142" s="239"/>
      <c r="H142" s="239"/>
    </row>
    <row r="143" spans="1:8" ht="18" customHeight="1">
      <c r="A143" s="239"/>
      <c r="B143" s="239"/>
      <c r="C143" s="239"/>
      <c r="D143" s="239"/>
      <c r="E143" s="239"/>
      <c r="F143" s="239"/>
      <c r="G143" s="239"/>
      <c r="H143" s="239"/>
    </row>
    <row r="144" spans="1:8" ht="18" customHeight="1">
      <c r="A144" s="239"/>
      <c r="B144" s="239"/>
      <c r="C144" s="239"/>
      <c r="D144" s="239"/>
      <c r="E144" s="239"/>
      <c r="F144" s="239"/>
      <c r="G144" s="239"/>
      <c r="H144" s="239"/>
    </row>
    <row r="145" spans="1:8" ht="18" customHeight="1">
      <c r="A145" s="239"/>
      <c r="B145" s="239"/>
      <c r="C145" s="239"/>
      <c r="D145" s="239"/>
      <c r="E145" s="239"/>
      <c r="F145" s="239"/>
      <c r="G145" s="239"/>
      <c r="H145" s="239"/>
    </row>
    <row r="146" spans="1:8" ht="18" customHeight="1">
      <c r="A146" s="239"/>
      <c r="B146" s="239"/>
      <c r="C146" s="239"/>
      <c r="D146" s="239"/>
      <c r="E146" s="239"/>
      <c r="F146" s="239"/>
      <c r="G146" s="239"/>
      <c r="H146" s="239"/>
    </row>
    <row r="147" spans="1:8" ht="18" customHeight="1">
      <c r="A147" s="239"/>
      <c r="B147" s="239"/>
      <c r="C147" s="239"/>
      <c r="D147" s="239"/>
      <c r="E147" s="239"/>
      <c r="F147" s="239"/>
      <c r="G147" s="239"/>
      <c r="H147" s="239"/>
    </row>
    <row r="148" spans="1:8" ht="18" customHeight="1">
      <c r="A148" s="239"/>
      <c r="B148" s="239"/>
      <c r="C148" s="239"/>
      <c r="D148" s="239"/>
      <c r="E148" s="239"/>
      <c r="F148" s="239"/>
      <c r="G148" s="239"/>
      <c r="H148" s="239"/>
    </row>
    <row r="149" spans="1:8" ht="18" customHeight="1">
      <c r="A149" s="239"/>
      <c r="B149" s="239"/>
      <c r="C149" s="239"/>
      <c r="D149" s="239"/>
      <c r="E149" s="239"/>
      <c r="F149" s="239"/>
      <c r="G149" s="239"/>
      <c r="H149" s="239"/>
    </row>
    <row r="150" spans="1:8" ht="18" customHeight="1">
      <c r="A150" s="239"/>
      <c r="B150" s="239"/>
      <c r="C150" s="239"/>
      <c r="D150" s="239"/>
      <c r="E150" s="239"/>
      <c r="F150" s="239"/>
      <c r="G150" s="239"/>
      <c r="H150" s="239"/>
    </row>
    <row r="151" spans="1:8" ht="18" customHeight="1">
      <c r="A151" s="239"/>
      <c r="B151" s="239"/>
      <c r="C151" s="239"/>
      <c r="D151" s="239"/>
      <c r="E151" s="239"/>
      <c r="F151" s="239"/>
      <c r="G151" s="239"/>
      <c r="H151" s="239"/>
    </row>
    <row r="152" spans="1:8" ht="18" customHeight="1">
      <c r="A152" s="239"/>
      <c r="B152" s="239"/>
      <c r="C152" s="239"/>
      <c r="D152" s="239"/>
      <c r="E152" s="239"/>
      <c r="F152" s="239"/>
      <c r="G152" s="239"/>
      <c r="H152" s="239"/>
    </row>
    <row r="153" spans="1:8" ht="18" customHeight="1">
      <c r="A153" s="239"/>
      <c r="B153" s="239"/>
      <c r="C153" s="239"/>
      <c r="D153" s="239"/>
      <c r="E153" s="239"/>
      <c r="F153" s="239"/>
      <c r="G153" s="239"/>
      <c r="H153" s="239"/>
    </row>
    <row r="154" spans="1:8" ht="18" customHeight="1">
      <c r="A154" s="239"/>
      <c r="B154" s="239"/>
      <c r="C154" s="239"/>
      <c r="D154" s="239"/>
      <c r="E154" s="239"/>
      <c r="F154" s="239"/>
      <c r="G154" s="239"/>
      <c r="H154" s="239"/>
    </row>
    <row r="155" spans="1:8" ht="18" customHeight="1">
      <c r="A155" s="239"/>
      <c r="B155" s="239"/>
      <c r="C155" s="239"/>
      <c r="D155" s="239"/>
      <c r="E155" s="239"/>
      <c r="F155" s="239"/>
      <c r="G155" s="239"/>
      <c r="H155" s="239"/>
    </row>
    <row r="156" spans="1:8" ht="18" customHeight="1">
      <c r="A156" s="239"/>
      <c r="B156" s="239"/>
      <c r="C156" s="239"/>
      <c r="D156" s="239"/>
      <c r="E156" s="239"/>
      <c r="F156" s="239"/>
      <c r="G156" s="239"/>
      <c r="H156" s="239"/>
    </row>
    <row r="157" spans="1:8" ht="18" customHeight="1">
      <c r="A157" s="239"/>
      <c r="B157" s="239"/>
      <c r="C157" s="239"/>
      <c r="D157" s="239"/>
      <c r="E157" s="239"/>
      <c r="F157" s="239"/>
      <c r="G157" s="239"/>
      <c r="H157" s="239"/>
    </row>
    <row r="158" spans="1:8" ht="18" customHeight="1">
      <c r="A158" s="239"/>
      <c r="B158" s="239"/>
      <c r="C158" s="239"/>
      <c r="D158" s="239"/>
      <c r="E158" s="239"/>
      <c r="F158" s="239"/>
      <c r="G158" s="239"/>
      <c r="H158" s="239"/>
    </row>
    <row r="159" spans="1:8" ht="18" customHeight="1">
      <c r="A159" s="239"/>
      <c r="B159" s="239"/>
      <c r="C159" s="239"/>
      <c r="D159" s="239"/>
      <c r="E159" s="239"/>
      <c r="F159" s="239"/>
      <c r="G159" s="239"/>
      <c r="H159" s="239"/>
    </row>
    <row r="160" spans="1:8" ht="18" customHeight="1">
      <c r="A160" s="239"/>
      <c r="B160" s="239"/>
      <c r="C160" s="239"/>
      <c r="D160" s="239"/>
      <c r="E160" s="239"/>
      <c r="F160" s="239"/>
      <c r="G160" s="239"/>
      <c r="H160" s="239"/>
    </row>
    <row r="161" spans="1:8" ht="18" customHeight="1">
      <c r="A161" s="239"/>
      <c r="B161" s="239"/>
      <c r="C161" s="239"/>
      <c r="D161" s="239"/>
      <c r="E161" s="239"/>
      <c r="F161" s="239"/>
      <c r="G161" s="239"/>
      <c r="H161" s="239"/>
    </row>
    <row r="162" spans="1:8" ht="18" customHeight="1">
      <c r="A162" s="239"/>
      <c r="B162" s="239"/>
      <c r="C162" s="239"/>
      <c r="D162" s="239"/>
      <c r="E162" s="239"/>
      <c r="F162" s="239"/>
      <c r="G162" s="239"/>
      <c r="H162" s="239"/>
    </row>
    <row r="163" spans="1:8" ht="18" customHeight="1">
      <c r="A163" s="239"/>
      <c r="B163" s="239"/>
      <c r="C163" s="239"/>
      <c r="D163" s="239"/>
      <c r="E163" s="239"/>
      <c r="F163" s="239"/>
      <c r="G163" s="239"/>
      <c r="H163" s="239"/>
    </row>
    <row r="164" spans="1:8" ht="18" customHeight="1">
      <c r="A164" s="239"/>
      <c r="B164" s="239"/>
      <c r="C164" s="239"/>
      <c r="D164" s="239"/>
      <c r="E164" s="239"/>
      <c r="F164" s="239"/>
      <c r="G164" s="239"/>
      <c r="H164" s="239"/>
    </row>
    <row r="165" spans="1:8" ht="18" customHeight="1">
      <c r="A165" s="239"/>
      <c r="B165" s="239"/>
      <c r="C165" s="239"/>
      <c r="D165" s="239"/>
      <c r="E165" s="239"/>
      <c r="F165" s="239"/>
      <c r="G165" s="239"/>
      <c r="H165" s="239"/>
    </row>
    <row r="166" spans="1:8" ht="18" customHeight="1">
      <c r="A166" s="239"/>
      <c r="B166" s="239"/>
      <c r="C166" s="239"/>
      <c r="D166" s="239"/>
      <c r="E166" s="239"/>
      <c r="F166" s="239"/>
      <c r="G166" s="239"/>
      <c r="H166" s="239"/>
    </row>
    <row r="167" spans="1:8" ht="18" customHeight="1">
      <c r="A167" s="239"/>
      <c r="B167" s="239"/>
      <c r="C167" s="239"/>
      <c r="D167" s="239"/>
      <c r="E167" s="239"/>
      <c r="F167" s="239"/>
      <c r="G167" s="239"/>
      <c r="H167" s="239"/>
    </row>
    <row r="168" spans="1:8" ht="18" customHeight="1">
      <c r="A168" s="239"/>
      <c r="B168" s="239"/>
      <c r="C168" s="239"/>
      <c r="D168" s="239"/>
      <c r="E168" s="239"/>
      <c r="F168" s="239"/>
      <c r="G168" s="239"/>
      <c r="H168" s="239"/>
    </row>
    <row r="169" spans="1:8" ht="18" customHeight="1">
      <c r="A169" s="239"/>
      <c r="B169" s="239"/>
      <c r="C169" s="239"/>
      <c r="D169" s="239"/>
      <c r="E169" s="239"/>
      <c r="F169" s="239"/>
      <c r="G169" s="239"/>
      <c r="H169" s="239"/>
    </row>
    <row r="170" spans="1:8" ht="18" customHeight="1">
      <c r="A170" s="239"/>
      <c r="B170" s="239"/>
      <c r="C170" s="239"/>
      <c r="D170" s="239"/>
      <c r="E170" s="239"/>
      <c r="F170" s="239"/>
      <c r="G170" s="239"/>
      <c r="H170" s="239"/>
    </row>
    <row r="171" spans="1:8" ht="18" customHeight="1">
      <c r="A171" s="239"/>
      <c r="B171" s="239"/>
      <c r="C171" s="239"/>
      <c r="D171" s="239"/>
      <c r="E171" s="239"/>
      <c r="F171" s="239"/>
      <c r="G171" s="239"/>
      <c r="H171" s="239"/>
    </row>
    <row r="172" spans="1:8" ht="18" customHeight="1">
      <c r="A172" s="239"/>
      <c r="B172" s="239"/>
      <c r="C172" s="239"/>
      <c r="D172" s="239"/>
      <c r="E172" s="239"/>
      <c r="F172" s="239"/>
      <c r="G172" s="239"/>
      <c r="H172" s="239"/>
    </row>
    <row r="173" spans="1:8" ht="18" customHeight="1">
      <c r="A173" s="239"/>
      <c r="B173" s="239"/>
      <c r="C173" s="239"/>
      <c r="D173" s="239"/>
      <c r="E173" s="239"/>
      <c r="F173" s="239"/>
      <c r="G173" s="239"/>
      <c r="H173" s="239"/>
    </row>
    <row r="174" spans="1:8" ht="18" customHeight="1">
      <c r="A174" s="239"/>
      <c r="B174" s="239"/>
      <c r="C174" s="239"/>
      <c r="D174" s="239"/>
      <c r="E174" s="239"/>
      <c r="F174" s="239"/>
      <c r="G174" s="239"/>
      <c r="H174" s="239"/>
    </row>
    <row r="175" spans="1:8" ht="18" customHeight="1">
      <c r="A175" s="239"/>
      <c r="B175" s="239"/>
      <c r="C175" s="239"/>
      <c r="D175" s="239"/>
      <c r="E175" s="239"/>
      <c r="F175" s="239"/>
      <c r="G175" s="239"/>
      <c r="H175" s="239"/>
    </row>
    <row r="176" spans="1:8" ht="18" customHeight="1">
      <c r="A176" s="239"/>
      <c r="B176" s="239"/>
      <c r="C176" s="239"/>
      <c r="D176" s="239"/>
      <c r="E176" s="239"/>
      <c r="F176" s="239"/>
      <c r="G176" s="239"/>
      <c r="H176" s="239"/>
    </row>
    <row r="177" spans="1:8" ht="18" customHeight="1">
      <c r="A177" s="239"/>
      <c r="B177" s="239"/>
      <c r="C177" s="239"/>
      <c r="D177" s="239"/>
      <c r="E177" s="239"/>
      <c r="F177" s="239"/>
      <c r="G177" s="239"/>
      <c r="H177" s="239"/>
    </row>
    <row r="178" spans="1:8" ht="18" customHeight="1">
      <c r="A178" s="239"/>
      <c r="B178" s="239"/>
      <c r="C178" s="239"/>
      <c r="D178" s="239"/>
      <c r="E178" s="239"/>
      <c r="F178" s="239"/>
      <c r="G178" s="239"/>
      <c r="H178" s="239"/>
    </row>
    <row r="179" spans="1:8" ht="18" customHeight="1">
      <c r="A179" s="239"/>
      <c r="B179" s="239"/>
      <c r="C179" s="239"/>
      <c r="D179" s="239"/>
      <c r="E179" s="239"/>
      <c r="F179" s="239"/>
      <c r="G179" s="239"/>
      <c r="H179" s="239"/>
    </row>
    <row r="180" spans="1:8" ht="18" customHeight="1">
      <c r="A180" s="239"/>
      <c r="B180" s="239"/>
      <c r="C180" s="239"/>
      <c r="D180" s="239"/>
      <c r="E180" s="239"/>
      <c r="F180" s="239"/>
      <c r="G180" s="239"/>
      <c r="H180" s="239"/>
    </row>
    <row r="181" spans="1:8" ht="18" customHeight="1">
      <c r="A181" s="239"/>
      <c r="B181" s="239"/>
      <c r="C181" s="239"/>
      <c r="D181" s="239"/>
      <c r="E181" s="239"/>
      <c r="F181" s="239"/>
      <c r="G181" s="239"/>
      <c r="H181" s="239"/>
    </row>
    <row r="182" spans="1:8" ht="18" customHeight="1">
      <c r="A182" s="239"/>
      <c r="B182" s="239"/>
      <c r="C182" s="239"/>
      <c r="D182" s="239"/>
      <c r="E182" s="239"/>
      <c r="F182" s="239"/>
      <c r="G182" s="239"/>
      <c r="H182" s="239"/>
    </row>
    <row r="183" spans="1:8" ht="18" customHeight="1">
      <c r="A183" s="239"/>
      <c r="B183" s="239"/>
      <c r="C183" s="239"/>
      <c r="D183" s="239"/>
      <c r="E183" s="239"/>
      <c r="F183" s="239"/>
      <c r="G183" s="239"/>
      <c r="H183" s="239"/>
    </row>
    <row r="184" spans="1:8" ht="18" customHeight="1">
      <c r="A184" s="239"/>
      <c r="B184" s="239"/>
      <c r="C184" s="239"/>
      <c r="D184" s="239"/>
      <c r="E184" s="239"/>
      <c r="F184" s="239"/>
      <c r="G184" s="239"/>
      <c r="H184" s="239"/>
    </row>
    <row r="185" spans="1:8" ht="18" customHeight="1">
      <c r="A185" s="239"/>
      <c r="B185" s="239"/>
      <c r="C185" s="239"/>
      <c r="D185" s="239"/>
      <c r="E185" s="239"/>
      <c r="F185" s="239"/>
      <c r="G185" s="239"/>
      <c r="H185" s="239"/>
    </row>
    <row r="186" spans="1:8" ht="18" customHeight="1">
      <c r="A186" s="239"/>
      <c r="B186" s="239"/>
      <c r="C186" s="239"/>
      <c r="D186" s="239"/>
      <c r="E186" s="239"/>
      <c r="F186" s="239"/>
      <c r="G186" s="239"/>
      <c r="H186" s="239"/>
    </row>
    <row r="187" spans="1:8" ht="18" customHeight="1">
      <c r="A187" s="239"/>
      <c r="B187" s="239"/>
      <c r="C187" s="239"/>
      <c r="D187" s="239"/>
      <c r="E187" s="239"/>
      <c r="F187" s="239"/>
      <c r="G187" s="239"/>
      <c r="H187" s="239"/>
    </row>
    <row r="188" spans="1:8" ht="18" customHeight="1">
      <c r="A188" s="239"/>
      <c r="B188" s="239"/>
      <c r="C188" s="239"/>
      <c r="D188" s="239"/>
      <c r="E188" s="239"/>
      <c r="F188" s="239"/>
      <c r="G188" s="239"/>
      <c r="H188" s="239"/>
    </row>
    <row r="189" spans="1:8" ht="18" customHeight="1">
      <c r="A189" s="239"/>
      <c r="B189" s="239"/>
      <c r="C189" s="239"/>
      <c r="D189" s="239"/>
      <c r="E189" s="239"/>
      <c r="F189" s="239"/>
      <c r="G189" s="239"/>
      <c r="H189" s="239"/>
    </row>
    <row r="190" spans="1:8" ht="18" customHeight="1">
      <c r="A190" s="239"/>
      <c r="B190" s="239"/>
      <c r="C190" s="239"/>
      <c r="D190" s="239"/>
      <c r="E190" s="239"/>
      <c r="F190" s="239"/>
      <c r="G190" s="239"/>
      <c r="H190" s="239"/>
    </row>
    <row r="191" spans="1:8" ht="18" customHeight="1">
      <c r="A191" s="239"/>
      <c r="B191" s="239"/>
      <c r="C191" s="239"/>
      <c r="D191" s="239"/>
      <c r="E191" s="239"/>
      <c r="F191" s="239"/>
      <c r="G191" s="239"/>
      <c r="H191" s="239"/>
    </row>
    <row r="192" spans="1:8" ht="18" customHeight="1">
      <c r="A192" s="239"/>
      <c r="B192" s="239"/>
      <c r="C192" s="239"/>
      <c r="D192" s="239"/>
      <c r="E192" s="239"/>
      <c r="F192" s="239"/>
      <c r="G192" s="239"/>
      <c r="H192" s="239"/>
    </row>
    <row r="193" spans="1:8" ht="18" customHeight="1">
      <c r="A193" s="239"/>
      <c r="B193" s="239"/>
      <c r="C193" s="239"/>
      <c r="D193" s="239"/>
      <c r="E193" s="239"/>
      <c r="F193" s="239"/>
      <c r="G193" s="239"/>
      <c r="H193" s="239"/>
    </row>
    <row r="194" spans="1:8" ht="18" customHeight="1">
      <c r="A194" s="239"/>
      <c r="B194" s="239"/>
      <c r="C194" s="239"/>
      <c r="D194" s="239"/>
      <c r="E194" s="239"/>
      <c r="F194" s="239"/>
      <c r="G194" s="239"/>
      <c r="H194" s="239"/>
    </row>
    <row r="195" spans="1:8" ht="18" customHeight="1">
      <c r="A195" s="239"/>
      <c r="B195" s="239"/>
      <c r="C195" s="239"/>
      <c r="D195" s="239"/>
      <c r="E195" s="239"/>
      <c r="F195" s="239"/>
      <c r="G195" s="239"/>
      <c r="H195" s="239"/>
    </row>
    <row r="196" spans="1:8" ht="18" customHeight="1">
      <c r="A196" s="239"/>
      <c r="B196" s="239"/>
      <c r="C196" s="239"/>
      <c r="D196" s="239"/>
      <c r="E196" s="239"/>
      <c r="F196" s="239"/>
      <c r="G196" s="239"/>
      <c r="H196" s="239"/>
    </row>
    <row r="197" spans="1:8" ht="18" customHeight="1">
      <c r="A197" s="239"/>
      <c r="B197" s="239"/>
      <c r="C197" s="239"/>
      <c r="D197" s="239"/>
      <c r="E197" s="239"/>
      <c r="F197" s="239"/>
      <c r="G197" s="239"/>
      <c r="H197" s="239"/>
    </row>
    <row r="198" spans="1:8" ht="18" customHeight="1">
      <c r="A198" s="239"/>
      <c r="B198" s="239"/>
      <c r="C198" s="239"/>
      <c r="D198" s="239"/>
      <c r="E198" s="239"/>
      <c r="F198" s="239"/>
      <c r="G198" s="239"/>
      <c r="H198" s="239"/>
    </row>
    <row r="199" spans="1:8" ht="18" customHeight="1">
      <c r="A199" s="239"/>
      <c r="B199" s="239"/>
      <c r="C199" s="239"/>
      <c r="D199" s="239"/>
      <c r="E199" s="239"/>
      <c r="F199" s="239"/>
      <c r="G199" s="239"/>
      <c r="H199" s="239"/>
    </row>
    <row r="200" spans="1:8" ht="18" customHeight="1">
      <c r="A200" s="239"/>
      <c r="B200" s="239"/>
      <c r="C200" s="239"/>
      <c r="D200" s="239"/>
      <c r="E200" s="239"/>
      <c r="F200" s="239"/>
      <c r="G200" s="239"/>
      <c r="H200" s="239"/>
    </row>
    <row r="201" spans="1:8" ht="18" customHeight="1">
      <c r="A201" s="239"/>
      <c r="B201" s="239"/>
      <c r="C201" s="239"/>
      <c r="D201" s="239"/>
      <c r="E201" s="239"/>
      <c r="F201" s="239"/>
      <c r="G201" s="239"/>
      <c r="H201" s="239"/>
    </row>
    <row r="202" spans="1:8" ht="18" customHeight="1">
      <c r="A202" s="239"/>
      <c r="B202" s="239"/>
      <c r="C202" s="239"/>
      <c r="D202" s="239"/>
      <c r="E202" s="239"/>
      <c r="F202" s="239"/>
      <c r="G202" s="239"/>
      <c r="H202" s="239"/>
    </row>
    <row r="203" spans="1:8" ht="18" customHeight="1">
      <c r="A203" s="239"/>
      <c r="B203" s="239"/>
      <c r="C203" s="239"/>
      <c r="D203" s="239"/>
      <c r="E203" s="239"/>
      <c r="F203" s="239"/>
      <c r="G203" s="239"/>
      <c r="H203" s="239"/>
    </row>
    <row r="204" spans="1:8" ht="18" customHeight="1">
      <c r="A204" s="239"/>
      <c r="B204" s="239"/>
      <c r="C204" s="239"/>
      <c r="D204" s="239"/>
      <c r="E204" s="239"/>
      <c r="F204" s="239"/>
      <c r="G204" s="239"/>
      <c r="H204" s="239"/>
    </row>
    <row r="205" spans="1:8" ht="18" customHeight="1">
      <c r="A205" s="239"/>
      <c r="B205" s="239"/>
      <c r="C205" s="239"/>
      <c r="D205" s="239"/>
      <c r="E205" s="239"/>
      <c r="F205" s="239"/>
      <c r="G205" s="239"/>
      <c r="H205" s="239"/>
    </row>
    <row r="206" spans="1:8" ht="18" customHeight="1">
      <c r="A206" s="239"/>
      <c r="B206" s="239"/>
      <c r="C206" s="239"/>
      <c r="D206" s="239"/>
      <c r="E206" s="239"/>
      <c r="F206" s="239"/>
      <c r="G206" s="239"/>
      <c r="H206" s="239"/>
    </row>
    <row r="207" spans="1:8" ht="18" customHeight="1">
      <c r="A207" s="239"/>
      <c r="B207" s="239"/>
      <c r="C207" s="239"/>
      <c r="D207" s="239"/>
      <c r="E207" s="239"/>
      <c r="F207" s="239"/>
      <c r="G207" s="239"/>
      <c r="H207" s="239"/>
    </row>
    <row r="208" spans="1:8" ht="18" customHeight="1">
      <c r="A208" s="239"/>
      <c r="B208" s="239"/>
      <c r="C208" s="239"/>
      <c r="D208" s="239"/>
      <c r="E208" s="239"/>
      <c r="F208" s="239"/>
      <c r="G208" s="239"/>
      <c r="H208" s="239"/>
    </row>
    <row r="209" spans="1:8" ht="18" customHeight="1">
      <c r="A209" s="239"/>
      <c r="B209" s="239"/>
      <c r="C209" s="239"/>
      <c r="D209" s="239"/>
      <c r="E209" s="239"/>
      <c r="F209" s="239"/>
      <c r="G209" s="239"/>
      <c r="H209" s="239"/>
    </row>
    <row r="210" spans="1:8" ht="18" customHeight="1">
      <c r="A210" s="239"/>
      <c r="B210" s="239"/>
      <c r="C210" s="239"/>
      <c r="D210" s="239"/>
      <c r="E210" s="239"/>
      <c r="F210" s="239"/>
      <c r="G210" s="239"/>
      <c r="H210" s="239"/>
    </row>
    <row r="211" spans="1:8" ht="18" customHeight="1">
      <c r="A211" s="239"/>
      <c r="B211" s="239"/>
      <c r="C211" s="239"/>
      <c r="D211" s="239"/>
      <c r="E211" s="239"/>
      <c r="F211" s="239"/>
      <c r="G211" s="239"/>
      <c r="H211" s="239"/>
    </row>
    <row r="212" spans="1:8" ht="18" customHeight="1">
      <c r="A212" s="239"/>
      <c r="B212" s="239"/>
      <c r="C212" s="239"/>
      <c r="D212" s="239"/>
      <c r="E212" s="239"/>
      <c r="F212" s="239"/>
      <c r="G212" s="239"/>
      <c r="H212" s="239"/>
    </row>
    <row r="213" spans="1:8" ht="18" customHeight="1">
      <c r="A213" s="239"/>
      <c r="B213" s="239"/>
      <c r="C213" s="239"/>
      <c r="D213" s="239"/>
      <c r="E213" s="239"/>
      <c r="F213" s="239"/>
      <c r="G213" s="239"/>
      <c r="H213" s="239"/>
    </row>
    <row r="214" spans="1:8" ht="18" customHeight="1">
      <c r="A214" s="239"/>
      <c r="B214" s="239"/>
      <c r="C214" s="239"/>
      <c r="D214" s="239"/>
      <c r="E214" s="239"/>
      <c r="F214" s="239"/>
      <c r="G214" s="239"/>
      <c r="H214" s="239"/>
    </row>
    <row r="215" spans="1:8" ht="18" customHeight="1">
      <c r="A215" s="239"/>
      <c r="B215" s="239"/>
      <c r="C215" s="239"/>
      <c r="D215" s="239"/>
      <c r="E215" s="239"/>
      <c r="F215" s="239"/>
      <c r="G215" s="239"/>
      <c r="H215" s="239"/>
    </row>
    <row r="216" spans="1:8" ht="18" customHeight="1">
      <c r="A216" s="239"/>
      <c r="B216" s="239"/>
      <c r="C216" s="239"/>
      <c r="D216" s="239"/>
      <c r="E216" s="239"/>
      <c r="F216" s="239"/>
      <c r="G216" s="239"/>
      <c r="H216" s="239"/>
    </row>
    <row r="217" spans="1:8" ht="18" customHeight="1">
      <c r="A217" s="239"/>
      <c r="B217" s="239"/>
      <c r="C217" s="239"/>
      <c r="D217" s="239"/>
      <c r="E217" s="239"/>
      <c r="F217" s="239"/>
      <c r="G217" s="239"/>
      <c r="H217" s="239"/>
    </row>
    <row r="218" spans="1:8" ht="18" customHeight="1">
      <c r="A218" s="239"/>
      <c r="B218" s="239"/>
      <c r="C218" s="239"/>
      <c r="D218" s="239"/>
      <c r="E218" s="239"/>
      <c r="F218" s="239"/>
      <c r="G218" s="239"/>
      <c r="H218" s="239"/>
    </row>
    <row r="219" spans="1:8" ht="18" customHeight="1">
      <c r="A219" s="239"/>
      <c r="B219" s="239"/>
      <c r="C219" s="239"/>
      <c r="D219" s="239"/>
      <c r="E219" s="239"/>
      <c r="F219" s="239"/>
      <c r="G219" s="239"/>
      <c r="H219" s="239"/>
    </row>
    <row r="220" spans="1:8" ht="18" customHeight="1">
      <c r="A220" s="239"/>
      <c r="B220" s="239"/>
      <c r="C220" s="239"/>
      <c r="D220" s="239"/>
      <c r="E220" s="239"/>
      <c r="F220" s="239"/>
      <c r="G220" s="239"/>
      <c r="H220" s="239"/>
    </row>
    <row r="221" spans="1:8" ht="18" customHeight="1">
      <c r="A221" s="239"/>
      <c r="B221" s="239"/>
      <c r="C221" s="239"/>
      <c r="D221" s="239"/>
      <c r="E221" s="239"/>
      <c r="F221" s="239"/>
      <c r="G221" s="239"/>
      <c r="H221" s="239"/>
    </row>
    <row r="222" spans="1:8" ht="18" customHeight="1">
      <c r="A222" s="239"/>
      <c r="B222" s="239"/>
      <c r="C222" s="239"/>
      <c r="D222" s="239"/>
      <c r="E222" s="239"/>
      <c r="F222" s="239"/>
      <c r="G222" s="239"/>
      <c r="H222" s="239"/>
    </row>
    <row r="223" spans="1:8" ht="18" customHeight="1">
      <c r="A223" s="239"/>
      <c r="B223" s="239"/>
      <c r="C223" s="239"/>
      <c r="D223" s="239"/>
      <c r="E223" s="239"/>
      <c r="F223" s="239"/>
      <c r="G223" s="239"/>
      <c r="H223" s="239"/>
    </row>
    <row r="224" spans="1:8" ht="18" customHeight="1">
      <c r="A224" s="239"/>
      <c r="B224" s="239"/>
      <c r="C224" s="239"/>
      <c r="D224" s="239"/>
      <c r="E224" s="239"/>
      <c r="F224" s="239"/>
      <c r="G224" s="239"/>
      <c r="H224" s="239"/>
    </row>
    <row r="225" spans="1:8" ht="18" customHeight="1">
      <c r="A225" s="239"/>
      <c r="B225" s="239"/>
      <c r="C225" s="239"/>
      <c r="D225" s="239"/>
      <c r="E225" s="239"/>
      <c r="F225" s="239"/>
      <c r="G225" s="239"/>
      <c r="H225" s="239"/>
    </row>
    <row r="226" spans="1:8" ht="18" customHeight="1">
      <c r="A226" s="239"/>
      <c r="B226" s="239"/>
      <c r="C226" s="239"/>
      <c r="D226" s="239"/>
      <c r="E226" s="239"/>
      <c r="F226" s="239"/>
      <c r="G226" s="239"/>
      <c r="H226" s="239"/>
    </row>
    <row r="227" spans="1:8" ht="18" customHeight="1">
      <c r="A227" s="239"/>
      <c r="B227" s="239"/>
      <c r="C227" s="239"/>
      <c r="D227" s="239"/>
      <c r="E227" s="239"/>
      <c r="F227" s="239"/>
      <c r="G227" s="239"/>
      <c r="H227" s="239"/>
    </row>
    <row r="228" spans="1:8" ht="18" customHeight="1">
      <c r="A228" s="239"/>
      <c r="B228" s="239"/>
      <c r="C228" s="239"/>
      <c r="D228" s="239"/>
      <c r="E228" s="239"/>
      <c r="F228" s="239"/>
      <c r="G228" s="239"/>
      <c r="H228" s="239"/>
    </row>
    <row r="229" spans="1:8" ht="18" customHeight="1">
      <c r="A229" s="239"/>
      <c r="B229" s="239"/>
      <c r="C229" s="239"/>
      <c r="D229" s="239"/>
      <c r="E229" s="239"/>
      <c r="F229" s="239"/>
      <c r="G229" s="239"/>
      <c r="H229" s="239"/>
    </row>
    <row r="230" spans="1:8" ht="18" customHeight="1">
      <c r="A230" s="239"/>
      <c r="B230" s="239"/>
      <c r="C230" s="239"/>
      <c r="D230" s="239"/>
      <c r="E230" s="239"/>
      <c r="F230" s="239"/>
      <c r="G230" s="239"/>
      <c r="H230" s="239"/>
    </row>
    <row r="231" spans="1:8" ht="18" customHeight="1">
      <c r="A231" s="239"/>
      <c r="B231" s="239"/>
      <c r="C231" s="239"/>
      <c r="D231" s="239"/>
      <c r="E231" s="239"/>
      <c r="F231" s="239"/>
      <c r="G231" s="239"/>
      <c r="H231" s="239"/>
    </row>
    <row r="232" spans="1:8" ht="18" customHeight="1">
      <c r="A232" s="239"/>
      <c r="B232" s="239"/>
      <c r="C232" s="239"/>
      <c r="D232" s="239"/>
      <c r="E232" s="239"/>
      <c r="F232" s="239"/>
      <c r="G232" s="239"/>
      <c r="H232" s="239"/>
    </row>
    <row r="233" spans="1:8" ht="18" customHeight="1">
      <c r="A233" s="239"/>
      <c r="B233" s="239"/>
      <c r="C233" s="239"/>
      <c r="D233" s="239"/>
      <c r="E233" s="239"/>
      <c r="F233" s="239"/>
      <c r="G233" s="239"/>
      <c r="H233" s="239"/>
    </row>
    <row r="234" spans="1:8" ht="18" customHeight="1">
      <c r="A234" s="239"/>
      <c r="B234" s="239"/>
      <c r="C234" s="239"/>
      <c r="D234" s="239"/>
      <c r="E234" s="239"/>
      <c r="F234" s="239"/>
      <c r="G234" s="239"/>
      <c r="H234" s="239"/>
    </row>
    <row r="235" spans="1:8" ht="18" customHeight="1">
      <c r="A235" s="239"/>
      <c r="B235" s="239"/>
      <c r="C235" s="239"/>
      <c r="D235" s="239"/>
      <c r="E235" s="239"/>
      <c r="F235" s="239"/>
      <c r="G235" s="239"/>
      <c r="H235" s="239"/>
    </row>
    <row r="236" spans="1:8" ht="18" customHeight="1">
      <c r="A236" s="239"/>
      <c r="B236" s="239"/>
      <c r="C236" s="239"/>
      <c r="D236" s="239"/>
      <c r="E236" s="239"/>
      <c r="F236" s="239"/>
      <c r="G236" s="239"/>
      <c r="H236" s="239"/>
    </row>
    <row r="237" spans="1:8" ht="18" customHeight="1">
      <c r="A237" s="239"/>
      <c r="B237" s="239"/>
      <c r="C237" s="239"/>
      <c r="D237" s="239"/>
      <c r="E237" s="239"/>
      <c r="F237" s="239"/>
      <c r="G237" s="239"/>
      <c r="H237" s="239"/>
    </row>
    <row r="238" spans="1:8" ht="18" customHeight="1">
      <c r="A238" s="239"/>
      <c r="B238" s="239"/>
      <c r="C238" s="239"/>
      <c r="D238" s="239"/>
      <c r="E238" s="239"/>
      <c r="F238" s="239"/>
      <c r="G238" s="239"/>
      <c r="H238" s="239"/>
    </row>
    <row r="239" spans="1:8" ht="18" customHeight="1">
      <c r="A239" s="239"/>
      <c r="B239" s="239"/>
      <c r="C239" s="239"/>
      <c r="D239" s="239"/>
      <c r="E239" s="239"/>
      <c r="F239" s="239"/>
      <c r="G239" s="239"/>
      <c r="H239" s="239"/>
    </row>
    <row r="240" spans="1:8" ht="18" customHeight="1">
      <c r="A240" s="239"/>
      <c r="B240" s="239"/>
      <c r="C240" s="239"/>
      <c r="D240" s="239"/>
      <c r="E240" s="239"/>
      <c r="F240" s="239"/>
      <c r="G240" s="239"/>
      <c r="H240" s="239"/>
    </row>
    <row r="241" spans="1:8" ht="18" customHeight="1">
      <c r="A241" s="239"/>
      <c r="B241" s="239"/>
      <c r="C241" s="239"/>
      <c r="D241" s="239"/>
      <c r="E241" s="239"/>
      <c r="F241" s="239"/>
      <c r="G241" s="239"/>
      <c r="H241" s="239"/>
    </row>
    <row r="242" spans="1:8" ht="18" customHeight="1">
      <c r="A242" s="239"/>
      <c r="B242" s="239"/>
      <c r="C242" s="239"/>
      <c r="D242" s="239"/>
      <c r="E242" s="239"/>
      <c r="F242" s="239"/>
      <c r="G242" s="239"/>
      <c r="H242" s="239"/>
    </row>
    <row r="243" spans="1:8" ht="18" customHeight="1">
      <c r="A243" s="239"/>
      <c r="B243" s="239"/>
      <c r="C243" s="239"/>
      <c r="D243" s="239"/>
      <c r="E243" s="239"/>
      <c r="F243" s="239"/>
      <c r="G243" s="239"/>
      <c r="H243" s="239"/>
    </row>
    <row r="244" spans="1:8" ht="18" customHeight="1">
      <c r="A244" s="239"/>
      <c r="B244" s="239"/>
      <c r="C244" s="239"/>
      <c r="D244" s="239"/>
      <c r="E244" s="239"/>
      <c r="F244" s="239"/>
      <c r="G244" s="239"/>
      <c r="H244" s="239"/>
    </row>
    <row r="245" spans="1:8" ht="18" customHeight="1">
      <c r="A245" s="239"/>
      <c r="B245" s="239"/>
      <c r="C245" s="239"/>
      <c r="D245" s="239"/>
      <c r="E245" s="239"/>
      <c r="F245" s="239"/>
      <c r="G245" s="239"/>
      <c r="H245" s="239"/>
    </row>
    <row r="246" spans="1:8" ht="18" customHeight="1">
      <c r="A246" s="239"/>
      <c r="B246" s="239"/>
      <c r="C246" s="239"/>
      <c r="D246" s="239"/>
      <c r="E246" s="239"/>
      <c r="F246" s="239"/>
      <c r="G246" s="239"/>
      <c r="H246" s="239"/>
    </row>
    <row r="247" spans="1:8" ht="18" customHeight="1">
      <c r="A247" s="239"/>
      <c r="B247" s="239"/>
      <c r="C247" s="239"/>
      <c r="D247" s="239"/>
      <c r="E247" s="239"/>
      <c r="F247" s="239"/>
      <c r="G247" s="239"/>
      <c r="H247" s="239"/>
    </row>
    <row r="248" spans="1:8" ht="18" customHeight="1">
      <c r="A248" s="239"/>
      <c r="B248" s="239"/>
      <c r="C248" s="239"/>
      <c r="D248" s="239"/>
      <c r="E248" s="239"/>
      <c r="F248" s="239"/>
      <c r="G248" s="239"/>
      <c r="H248" s="239"/>
    </row>
    <row r="249" spans="1:8" ht="18" customHeight="1">
      <c r="A249" s="239"/>
      <c r="B249" s="239"/>
      <c r="C249" s="239"/>
      <c r="D249" s="239"/>
      <c r="E249" s="239"/>
      <c r="F249" s="239"/>
      <c r="G249" s="239"/>
      <c r="H249" s="239"/>
    </row>
    <row r="250" spans="1:8" ht="18" customHeight="1">
      <c r="A250" s="239"/>
      <c r="B250" s="239"/>
      <c r="C250" s="239"/>
      <c r="D250" s="239"/>
      <c r="E250" s="239"/>
      <c r="F250" s="239"/>
      <c r="G250" s="239"/>
      <c r="H250" s="239"/>
    </row>
    <row r="251" spans="1:8" ht="18" customHeight="1">
      <c r="A251" s="239"/>
      <c r="B251" s="239"/>
      <c r="C251" s="239"/>
      <c r="D251" s="239"/>
      <c r="E251" s="239"/>
      <c r="F251" s="239"/>
      <c r="G251" s="239"/>
      <c r="H251" s="239"/>
    </row>
    <row r="252" spans="1:8" ht="18" customHeight="1">
      <c r="A252" s="239"/>
      <c r="B252" s="239"/>
      <c r="C252" s="239"/>
      <c r="D252" s="239"/>
      <c r="E252" s="239"/>
      <c r="F252" s="239"/>
      <c r="G252" s="239"/>
      <c r="H252" s="239"/>
    </row>
    <row r="253" spans="1:8" ht="18" customHeight="1">
      <c r="A253" s="239"/>
      <c r="B253" s="239"/>
      <c r="C253" s="239"/>
      <c r="D253" s="239"/>
      <c r="E253" s="239"/>
      <c r="F253" s="239"/>
      <c r="G253" s="239"/>
      <c r="H253" s="239"/>
    </row>
    <row r="254" spans="1:8" ht="18" customHeight="1">
      <c r="A254" s="239"/>
      <c r="B254" s="239"/>
      <c r="C254" s="239"/>
      <c r="D254" s="239"/>
      <c r="E254" s="239"/>
      <c r="F254" s="239"/>
      <c r="G254" s="239"/>
      <c r="H254" s="239"/>
    </row>
    <row r="255" spans="1:8" ht="18" customHeight="1">
      <c r="A255" s="239"/>
      <c r="B255" s="239"/>
      <c r="C255" s="239"/>
      <c r="D255" s="239"/>
      <c r="E255" s="239"/>
      <c r="F255" s="239"/>
      <c r="G255" s="239"/>
      <c r="H255" s="239"/>
    </row>
    <row r="256" spans="1:8" ht="18" customHeight="1">
      <c r="A256" s="239"/>
      <c r="B256" s="239"/>
      <c r="C256" s="239"/>
      <c r="D256" s="239"/>
      <c r="E256" s="239"/>
      <c r="F256" s="239"/>
      <c r="G256" s="239"/>
      <c r="H256" s="239"/>
    </row>
    <row r="257" spans="1:8" ht="18" customHeight="1">
      <c r="A257" s="239"/>
      <c r="B257" s="239"/>
      <c r="C257" s="239"/>
      <c r="D257" s="239"/>
      <c r="E257" s="239"/>
      <c r="F257" s="239"/>
      <c r="G257" s="239"/>
      <c r="H257" s="239"/>
    </row>
    <row r="258" spans="1:8" ht="18" customHeight="1">
      <c r="A258" s="239"/>
      <c r="B258" s="239"/>
      <c r="C258" s="239"/>
      <c r="D258" s="239"/>
      <c r="E258" s="239"/>
      <c r="F258" s="239"/>
      <c r="G258" s="239"/>
      <c r="H258" s="239"/>
    </row>
    <row r="259" spans="1:8" ht="18" customHeight="1">
      <c r="A259" s="239"/>
      <c r="B259" s="239"/>
      <c r="C259" s="239"/>
      <c r="D259" s="239"/>
      <c r="E259" s="239"/>
      <c r="F259" s="239"/>
      <c r="G259" s="239"/>
      <c r="H259" s="239"/>
    </row>
    <row r="260" spans="1:8" ht="18" customHeight="1">
      <c r="A260" s="239"/>
      <c r="B260" s="239"/>
      <c r="C260" s="239"/>
      <c r="D260" s="239"/>
      <c r="E260" s="239"/>
      <c r="F260" s="239"/>
      <c r="G260" s="239"/>
      <c r="H260" s="239"/>
    </row>
    <row r="261" spans="1:8" ht="18" customHeight="1">
      <c r="A261" s="239"/>
      <c r="B261" s="239"/>
      <c r="C261" s="239"/>
      <c r="D261" s="239"/>
      <c r="E261" s="239"/>
      <c r="F261" s="239"/>
      <c r="G261" s="239"/>
      <c r="H261" s="239"/>
    </row>
    <row r="262" spans="1:8" ht="18" customHeight="1">
      <c r="A262" s="239"/>
      <c r="B262" s="239"/>
      <c r="C262" s="239"/>
      <c r="D262" s="239"/>
      <c r="E262" s="239"/>
      <c r="F262" s="239"/>
      <c r="G262" s="239"/>
      <c r="H262" s="239"/>
    </row>
    <row r="263" spans="1:8" ht="18" customHeight="1">
      <c r="A263" s="239"/>
      <c r="B263" s="239"/>
      <c r="C263" s="239"/>
      <c r="D263" s="239"/>
      <c r="E263" s="239"/>
      <c r="F263" s="239"/>
      <c r="G263" s="239"/>
      <c r="H263" s="239"/>
    </row>
    <row r="264" spans="1:8" ht="18" customHeight="1">
      <c r="A264" s="239"/>
      <c r="B264" s="239"/>
      <c r="C264" s="239"/>
      <c r="D264" s="239"/>
      <c r="E264" s="239"/>
      <c r="F264" s="239"/>
      <c r="G264" s="239"/>
      <c r="H264" s="239"/>
    </row>
    <row r="265" spans="1:8" ht="18" customHeight="1">
      <c r="A265" s="239"/>
      <c r="B265" s="239"/>
      <c r="C265" s="239"/>
      <c r="D265" s="239"/>
      <c r="E265" s="239"/>
      <c r="F265" s="239"/>
      <c r="G265" s="239"/>
      <c r="H265" s="239"/>
    </row>
    <row r="266" spans="1:8" ht="18" customHeight="1">
      <c r="A266" s="239"/>
      <c r="B266" s="239"/>
      <c r="C266" s="239"/>
      <c r="D266" s="239"/>
      <c r="E266" s="239"/>
      <c r="F266" s="239"/>
      <c r="G266" s="239"/>
      <c r="H266" s="239"/>
    </row>
    <row r="267" spans="1:8" ht="18" customHeight="1">
      <c r="A267" s="239"/>
      <c r="B267" s="239"/>
      <c r="C267" s="239"/>
      <c r="D267" s="239"/>
      <c r="E267" s="239"/>
      <c r="F267" s="239"/>
      <c r="G267" s="239"/>
      <c r="H267" s="239"/>
    </row>
    <row r="268" spans="1:8" ht="18" customHeight="1">
      <c r="A268" s="239"/>
      <c r="B268" s="239"/>
      <c r="C268" s="239"/>
      <c r="D268" s="239"/>
      <c r="E268" s="239"/>
      <c r="F268" s="239"/>
      <c r="G268" s="239"/>
      <c r="H268" s="239"/>
    </row>
    <row r="269" spans="1:8" ht="18" customHeight="1">
      <c r="A269" s="239"/>
      <c r="B269" s="239"/>
      <c r="C269" s="239"/>
      <c r="D269" s="239"/>
      <c r="E269" s="239"/>
      <c r="F269" s="239"/>
      <c r="G269" s="239"/>
      <c r="H269" s="239"/>
    </row>
    <row r="270" spans="1:8" ht="18" customHeight="1">
      <c r="A270" s="239"/>
      <c r="B270" s="239"/>
      <c r="C270" s="239"/>
      <c r="D270" s="239"/>
      <c r="E270" s="239"/>
      <c r="F270" s="239"/>
      <c r="G270" s="239"/>
      <c r="H270" s="239"/>
    </row>
    <row r="271" spans="1:8" ht="18" customHeight="1">
      <c r="A271" s="239"/>
      <c r="B271" s="239"/>
      <c r="C271" s="239"/>
      <c r="D271" s="239"/>
      <c r="E271" s="239"/>
      <c r="F271" s="239"/>
      <c r="G271" s="239"/>
      <c r="H271" s="239"/>
    </row>
    <row r="272" spans="1:8" ht="18" customHeight="1">
      <c r="A272" s="239"/>
      <c r="B272" s="239"/>
      <c r="C272" s="239"/>
      <c r="D272" s="239"/>
      <c r="E272" s="239"/>
      <c r="F272" s="239"/>
      <c r="G272" s="239"/>
      <c r="H272" s="239"/>
    </row>
    <row r="273" spans="1:8" ht="18" customHeight="1">
      <c r="A273" s="239"/>
      <c r="B273" s="239"/>
      <c r="C273" s="239"/>
      <c r="D273" s="239"/>
      <c r="E273" s="239"/>
      <c r="F273" s="239"/>
      <c r="G273" s="239"/>
      <c r="H273" s="239"/>
    </row>
    <row r="274" spans="1:8" ht="18" customHeight="1">
      <c r="A274" s="239"/>
      <c r="B274" s="239"/>
      <c r="C274" s="239"/>
      <c r="D274" s="239"/>
      <c r="E274" s="239"/>
      <c r="F274" s="239"/>
      <c r="G274" s="239"/>
      <c r="H274" s="239"/>
    </row>
    <row r="275" spans="1:8" ht="18" customHeight="1">
      <c r="A275" s="239"/>
      <c r="B275" s="239"/>
      <c r="C275" s="239"/>
      <c r="D275" s="239"/>
      <c r="E275" s="239"/>
      <c r="F275" s="239"/>
      <c r="G275" s="239"/>
      <c r="H275" s="239"/>
    </row>
    <row r="276" spans="1:8" ht="18" customHeight="1">
      <c r="A276" s="239"/>
      <c r="B276" s="239"/>
      <c r="C276" s="239"/>
      <c r="D276" s="239"/>
      <c r="E276" s="239"/>
      <c r="F276" s="239"/>
      <c r="G276" s="239"/>
      <c r="H276" s="239"/>
    </row>
    <row r="277" spans="1:8" ht="18" customHeight="1">
      <c r="A277" s="239"/>
      <c r="B277" s="239"/>
      <c r="C277" s="239"/>
      <c r="D277" s="239"/>
      <c r="E277" s="239"/>
      <c r="F277" s="239"/>
      <c r="G277" s="239"/>
      <c r="H277" s="239"/>
    </row>
    <row r="278" spans="1:8" ht="18" customHeight="1">
      <c r="A278" s="239"/>
      <c r="B278" s="239"/>
      <c r="C278" s="239"/>
      <c r="D278" s="239"/>
      <c r="E278" s="239"/>
      <c r="F278" s="239"/>
      <c r="G278" s="239"/>
      <c r="H278" s="239"/>
    </row>
    <row r="279" spans="1:8" ht="18" customHeight="1">
      <c r="A279" s="239"/>
      <c r="B279" s="239"/>
      <c r="C279" s="239"/>
      <c r="D279" s="239"/>
      <c r="E279" s="239"/>
      <c r="F279" s="239"/>
      <c r="G279" s="239"/>
      <c r="H279" s="239"/>
    </row>
    <row r="280" spans="1:8" ht="18" customHeight="1">
      <c r="A280" s="239"/>
      <c r="B280" s="239"/>
      <c r="C280" s="239"/>
      <c r="D280" s="239"/>
      <c r="E280" s="239"/>
      <c r="F280" s="239"/>
      <c r="G280" s="239"/>
      <c r="H280" s="239"/>
    </row>
    <row r="281" spans="1:8" ht="18" customHeight="1">
      <c r="A281" s="239"/>
      <c r="B281" s="239"/>
      <c r="C281" s="239"/>
      <c r="D281" s="239"/>
      <c r="E281" s="239"/>
      <c r="F281" s="239"/>
      <c r="G281" s="239"/>
      <c r="H281" s="239"/>
    </row>
    <row r="282" spans="1:8" ht="18" customHeight="1">
      <c r="A282" s="239"/>
      <c r="B282" s="239"/>
      <c r="C282" s="239"/>
      <c r="D282" s="239"/>
      <c r="E282" s="239"/>
      <c r="F282" s="239"/>
      <c r="G282" s="239"/>
      <c r="H282" s="239"/>
    </row>
    <row r="283" spans="1:8" ht="18" customHeight="1">
      <c r="A283" s="239"/>
      <c r="B283" s="239"/>
      <c r="C283" s="239"/>
      <c r="D283" s="239"/>
      <c r="E283" s="239"/>
      <c r="F283" s="239"/>
      <c r="G283" s="239"/>
      <c r="H283" s="239"/>
    </row>
    <row r="284" spans="1:8" ht="18" customHeight="1">
      <c r="A284" s="239"/>
      <c r="B284" s="239"/>
      <c r="C284" s="239"/>
      <c r="D284" s="239"/>
      <c r="E284" s="239"/>
      <c r="F284" s="239"/>
      <c r="G284" s="239"/>
      <c r="H284" s="239"/>
    </row>
    <row r="285" spans="1:8" ht="18" customHeight="1">
      <c r="A285" s="239"/>
      <c r="B285" s="239"/>
      <c r="C285" s="239"/>
      <c r="D285" s="239"/>
      <c r="E285" s="239"/>
      <c r="F285" s="239"/>
      <c r="G285" s="239"/>
      <c r="H285" s="239"/>
    </row>
    <row r="286" spans="1:8" ht="18" customHeight="1">
      <c r="A286" s="239"/>
      <c r="B286" s="239"/>
      <c r="C286" s="239"/>
      <c r="D286" s="239"/>
      <c r="E286" s="239"/>
      <c r="F286" s="239"/>
      <c r="G286" s="239"/>
      <c r="H286" s="239"/>
    </row>
    <row r="287" spans="1:8" ht="18" customHeight="1">
      <c r="A287" s="239"/>
      <c r="B287" s="239"/>
      <c r="C287" s="239"/>
      <c r="D287" s="239"/>
      <c r="E287" s="239"/>
      <c r="F287" s="239"/>
      <c r="G287" s="239"/>
      <c r="H287" s="239"/>
    </row>
    <row r="288" spans="1:8" ht="18" customHeight="1">
      <c r="A288" s="239"/>
      <c r="B288" s="239"/>
      <c r="C288" s="239"/>
      <c r="D288" s="239"/>
      <c r="E288" s="239"/>
      <c r="F288" s="239"/>
      <c r="G288" s="239"/>
      <c r="H288" s="239"/>
    </row>
    <row r="289" spans="1:8" ht="18" customHeight="1">
      <c r="A289" s="239"/>
      <c r="B289" s="239"/>
      <c r="C289" s="239"/>
      <c r="D289" s="239"/>
      <c r="E289" s="239"/>
      <c r="F289" s="239"/>
      <c r="G289" s="239"/>
      <c r="H289" s="239"/>
    </row>
    <row r="290" spans="1:8" ht="18" customHeight="1">
      <c r="A290" s="239"/>
      <c r="B290" s="239"/>
      <c r="C290" s="239"/>
      <c r="D290" s="239"/>
      <c r="E290" s="239"/>
      <c r="F290" s="239"/>
      <c r="G290" s="239"/>
      <c r="H290" s="239"/>
    </row>
    <row r="291" spans="1:8" ht="18" customHeight="1">
      <c r="A291" s="239"/>
      <c r="B291" s="239"/>
      <c r="C291" s="239"/>
      <c r="D291" s="239"/>
      <c r="E291" s="239"/>
      <c r="F291" s="239"/>
      <c r="G291" s="239"/>
      <c r="H291" s="239"/>
    </row>
    <row r="292" spans="1:8" ht="18" customHeight="1">
      <c r="A292" s="239"/>
      <c r="B292" s="239"/>
      <c r="C292" s="239"/>
      <c r="D292" s="239"/>
      <c r="E292" s="239"/>
      <c r="F292" s="239"/>
      <c r="G292" s="239"/>
      <c r="H292" s="239"/>
    </row>
    <row r="293" spans="1:8" ht="18" customHeight="1">
      <c r="A293" s="239"/>
      <c r="B293" s="239"/>
      <c r="C293" s="239"/>
      <c r="D293" s="239"/>
      <c r="E293" s="239"/>
      <c r="F293" s="239"/>
      <c r="G293" s="239"/>
      <c r="H293" s="239"/>
    </row>
    <row r="294" spans="1:8" ht="18" customHeight="1">
      <c r="A294" s="239"/>
      <c r="B294" s="239"/>
      <c r="C294" s="239"/>
      <c r="D294" s="239"/>
      <c r="E294" s="239"/>
      <c r="F294" s="239"/>
      <c r="G294" s="239"/>
      <c r="H294" s="239"/>
    </row>
    <row r="295" spans="1:8" ht="18" customHeight="1">
      <c r="A295" s="239"/>
      <c r="B295" s="239"/>
      <c r="C295" s="239"/>
      <c r="D295" s="239"/>
      <c r="E295" s="239"/>
      <c r="F295" s="239"/>
      <c r="G295" s="239"/>
      <c r="H295" s="239"/>
    </row>
    <row r="296" spans="1:8" ht="18" customHeight="1">
      <c r="A296" s="239"/>
      <c r="B296" s="239"/>
      <c r="C296" s="239"/>
      <c r="D296" s="239"/>
      <c r="E296" s="239"/>
      <c r="F296" s="239"/>
      <c r="G296" s="239"/>
      <c r="H296" s="239"/>
    </row>
    <row r="297" spans="1:8" ht="18" customHeight="1">
      <c r="A297" s="239"/>
      <c r="B297" s="239"/>
      <c r="C297" s="239"/>
      <c r="D297" s="239"/>
      <c r="E297" s="239"/>
      <c r="F297" s="239"/>
      <c r="G297" s="239"/>
      <c r="H297" s="239"/>
    </row>
    <row r="298" spans="1:8" ht="18" customHeight="1">
      <c r="A298" s="239"/>
      <c r="B298" s="239"/>
      <c r="C298" s="239"/>
      <c r="D298" s="239"/>
      <c r="E298" s="239"/>
      <c r="F298" s="239"/>
      <c r="G298" s="239"/>
      <c r="H298" s="239"/>
    </row>
    <row r="299" spans="1:8" ht="18" customHeight="1">
      <c r="A299" s="239"/>
      <c r="B299" s="239"/>
      <c r="C299" s="239"/>
      <c r="D299" s="239"/>
      <c r="E299" s="239"/>
      <c r="F299" s="239"/>
      <c r="G299" s="239"/>
      <c r="H299" s="239"/>
    </row>
    <row r="300" spans="1:8" ht="18" customHeight="1">
      <c r="A300" s="239"/>
      <c r="B300" s="239"/>
      <c r="C300" s="239"/>
      <c r="D300" s="239"/>
      <c r="E300" s="239"/>
      <c r="F300" s="239"/>
      <c r="G300" s="239"/>
      <c r="H300" s="239"/>
    </row>
    <row r="301" spans="1:8" ht="18" customHeight="1">
      <c r="A301" s="239"/>
      <c r="B301" s="239"/>
      <c r="C301" s="239"/>
      <c r="D301" s="239"/>
      <c r="E301" s="239"/>
      <c r="F301" s="239"/>
      <c r="G301" s="239"/>
      <c r="H301" s="239"/>
    </row>
    <row r="302" spans="1:8" ht="18" customHeight="1">
      <c r="A302" s="239"/>
      <c r="B302" s="239"/>
      <c r="C302" s="239"/>
      <c r="D302" s="239"/>
      <c r="E302" s="239"/>
      <c r="F302" s="239"/>
      <c r="G302" s="239"/>
      <c r="H302" s="239"/>
    </row>
    <row r="303" spans="1:8" ht="18" customHeight="1">
      <c r="A303" s="239"/>
      <c r="B303" s="239"/>
      <c r="C303" s="239"/>
      <c r="D303" s="239"/>
      <c r="E303" s="239"/>
      <c r="F303" s="239"/>
      <c r="G303" s="239"/>
      <c r="H303" s="239"/>
    </row>
    <row r="304" spans="1:8" ht="18" customHeight="1">
      <c r="A304" s="239"/>
      <c r="B304" s="239"/>
      <c r="C304" s="239"/>
      <c r="D304" s="239"/>
      <c r="E304" s="239"/>
      <c r="F304" s="239"/>
      <c r="G304" s="239"/>
      <c r="H304" s="239"/>
    </row>
    <row r="305" spans="1:8" ht="18" customHeight="1">
      <c r="A305" s="239"/>
      <c r="B305" s="239"/>
      <c r="C305" s="239"/>
      <c r="D305" s="239"/>
      <c r="E305" s="239"/>
      <c r="F305" s="239"/>
      <c r="G305" s="239"/>
      <c r="H305" s="239"/>
    </row>
    <row r="306" spans="1:8" ht="18" customHeight="1">
      <c r="A306" s="239"/>
      <c r="B306" s="239"/>
      <c r="C306" s="239"/>
      <c r="D306" s="239"/>
      <c r="E306" s="239"/>
      <c r="F306" s="239"/>
      <c r="G306" s="239"/>
      <c r="H306" s="239"/>
    </row>
    <row r="307" spans="1:8" ht="18" customHeight="1">
      <c r="A307" s="239"/>
      <c r="B307" s="239"/>
      <c r="C307" s="239"/>
      <c r="D307" s="239"/>
      <c r="E307" s="239"/>
      <c r="F307" s="239"/>
      <c r="G307" s="239"/>
      <c r="H307" s="239"/>
    </row>
    <row r="308" spans="1:8" ht="18" customHeight="1">
      <c r="A308" s="239"/>
      <c r="B308" s="239"/>
      <c r="C308" s="239"/>
      <c r="D308" s="239"/>
      <c r="E308" s="239"/>
      <c r="F308" s="239"/>
      <c r="G308" s="239"/>
      <c r="H308" s="239"/>
    </row>
    <row r="309" spans="1:8" ht="18" customHeight="1">
      <c r="A309" s="239"/>
      <c r="B309" s="239"/>
      <c r="C309" s="239"/>
      <c r="D309" s="239"/>
      <c r="E309" s="239"/>
      <c r="F309" s="239"/>
      <c r="G309" s="239"/>
      <c r="H309" s="239"/>
    </row>
    <row r="310" spans="1:8" ht="18" customHeight="1">
      <c r="A310" s="239"/>
      <c r="B310" s="239"/>
      <c r="C310" s="239"/>
      <c r="D310" s="239"/>
      <c r="E310" s="239"/>
      <c r="F310" s="239"/>
      <c r="G310" s="239"/>
      <c r="H310" s="239"/>
    </row>
    <row r="311" spans="1:8" ht="18" customHeight="1">
      <c r="A311" s="239"/>
      <c r="B311" s="239"/>
      <c r="C311" s="239"/>
      <c r="D311" s="239"/>
      <c r="E311" s="239"/>
      <c r="F311" s="239"/>
      <c r="G311" s="239"/>
      <c r="H311" s="239"/>
    </row>
    <row r="312" spans="1:8" ht="18" customHeight="1">
      <c r="A312" s="239"/>
      <c r="B312" s="239"/>
      <c r="C312" s="239"/>
      <c r="D312" s="239"/>
      <c r="E312" s="239"/>
      <c r="F312" s="239"/>
      <c r="G312" s="239"/>
      <c r="H312" s="239"/>
    </row>
    <row r="313" spans="1:8" ht="18" customHeight="1">
      <c r="A313" s="239"/>
      <c r="B313" s="239"/>
      <c r="C313" s="239"/>
      <c r="D313" s="239"/>
      <c r="E313" s="239"/>
      <c r="F313" s="239"/>
      <c r="G313" s="239"/>
      <c r="H313" s="239"/>
    </row>
    <row r="314" spans="1:8" ht="18" customHeight="1">
      <c r="A314" s="239"/>
      <c r="B314" s="239"/>
      <c r="C314" s="239"/>
      <c r="D314" s="239"/>
      <c r="E314" s="239"/>
      <c r="F314" s="239"/>
      <c r="G314" s="239"/>
      <c r="H314" s="239"/>
    </row>
    <row r="315" spans="1:8" ht="18" customHeight="1">
      <c r="A315" s="239"/>
      <c r="B315" s="239"/>
      <c r="C315" s="239"/>
      <c r="D315" s="239"/>
      <c r="E315" s="239"/>
      <c r="F315" s="239"/>
      <c r="G315" s="239"/>
      <c r="H315" s="239"/>
    </row>
    <row r="316" spans="1:8" ht="18" customHeight="1">
      <c r="A316" s="239"/>
      <c r="B316" s="239"/>
      <c r="C316" s="239"/>
      <c r="D316" s="239"/>
      <c r="E316" s="239"/>
      <c r="F316" s="239"/>
      <c r="G316" s="239"/>
      <c r="H316" s="239"/>
    </row>
    <row r="317" spans="1:8" ht="18" customHeight="1">
      <c r="A317" s="239"/>
      <c r="B317" s="239"/>
      <c r="C317" s="239"/>
      <c r="D317" s="239"/>
      <c r="E317" s="239"/>
      <c r="F317" s="239"/>
      <c r="G317" s="239"/>
      <c r="H317" s="239"/>
    </row>
    <row r="318" spans="1:8" ht="18" customHeight="1">
      <c r="A318" s="239"/>
      <c r="B318" s="239"/>
      <c r="C318" s="239"/>
      <c r="D318" s="239"/>
      <c r="E318" s="239"/>
      <c r="F318" s="239"/>
      <c r="G318" s="239"/>
      <c r="H318" s="239"/>
    </row>
    <row r="319" spans="1:8" ht="18" customHeight="1">
      <c r="A319" s="239"/>
      <c r="B319" s="239"/>
      <c r="C319" s="239"/>
      <c r="D319" s="239"/>
      <c r="E319" s="239"/>
      <c r="F319" s="239"/>
      <c r="G319" s="239"/>
      <c r="H319" s="239"/>
    </row>
    <row r="320" spans="1:8" ht="18" customHeight="1">
      <c r="A320" s="239"/>
      <c r="B320" s="239"/>
      <c r="C320" s="239"/>
      <c r="D320" s="239"/>
      <c r="E320" s="239"/>
      <c r="F320" s="239"/>
      <c r="G320" s="239"/>
      <c r="H320" s="239"/>
    </row>
    <row r="321" spans="1:8" ht="18" customHeight="1">
      <c r="A321" s="239"/>
      <c r="B321" s="239"/>
      <c r="C321" s="239"/>
      <c r="D321" s="239"/>
      <c r="E321" s="239"/>
      <c r="F321" s="239"/>
      <c r="G321" s="239"/>
      <c r="H321" s="239"/>
    </row>
    <row r="322" spans="1:8" ht="18" customHeight="1">
      <c r="A322" s="239"/>
      <c r="B322" s="239"/>
      <c r="C322" s="239"/>
      <c r="D322" s="239"/>
      <c r="E322" s="239"/>
      <c r="F322" s="239"/>
      <c r="G322" s="239"/>
      <c r="H322" s="239"/>
    </row>
    <row r="323" spans="1:8" ht="18" customHeight="1">
      <c r="A323" s="239"/>
      <c r="B323" s="239"/>
      <c r="C323" s="239"/>
      <c r="D323" s="239"/>
      <c r="E323" s="239"/>
      <c r="F323" s="239"/>
      <c r="G323" s="239"/>
      <c r="H323" s="239"/>
    </row>
    <row r="324" spans="1:8" ht="18" customHeight="1">
      <c r="A324" s="239"/>
      <c r="B324" s="239"/>
      <c r="C324" s="239"/>
      <c r="D324" s="239"/>
      <c r="E324" s="239"/>
      <c r="F324" s="239"/>
      <c r="G324" s="239"/>
      <c r="H324" s="239"/>
    </row>
    <row r="325" spans="1:8" ht="18" customHeight="1">
      <c r="A325" s="239"/>
      <c r="B325" s="239"/>
      <c r="C325" s="239"/>
      <c r="D325" s="239"/>
      <c r="E325" s="239"/>
      <c r="F325" s="239"/>
      <c r="G325" s="239"/>
      <c r="H325" s="239"/>
    </row>
    <row r="326" spans="1:8" ht="18" customHeight="1">
      <c r="A326" s="239"/>
      <c r="B326" s="239"/>
      <c r="C326" s="239"/>
      <c r="D326" s="239"/>
      <c r="E326" s="239"/>
      <c r="F326" s="239"/>
      <c r="G326" s="239"/>
      <c r="H326" s="239"/>
    </row>
    <row r="327" spans="1:8" ht="18" customHeight="1">
      <c r="A327" s="239"/>
      <c r="B327" s="239"/>
      <c r="C327" s="239"/>
      <c r="D327" s="239"/>
      <c r="E327" s="239"/>
      <c r="F327" s="239"/>
      <c r="G327" s="239"/>
      <c r="H327" s="239"/>
    </row>
    <row r="328" spans="1:8" ht="18" customHeight="1">
      <c r="A328" s="239"/>
      <c r="B328" s="239"/>
      <c r="C328" s="239"/>
      <c r="D328" s="239"/>
      <c r="E328" s="239"/>
      <c r="F328" s="239"/>
      <c r="G328" s="239"/>
      <c r="H328" s="239"/>
    </row>
    <row r="329" spans="1:8" ht="18" customHeight="1">
      <c r="A329" s="239"/>
      <c r="B329" s="239"/>
      <c r="C329" s="239"/>
      <c r="D329" s="239"/>
      <c r="E329" s="239"/>
      <c r="F329" s="239"/>
      <c r="G329" s="239"/>
      <c r="H329" s="239"/>
    </row>
    <row r="330" spans="1:8" ht="18" customHeight="1">
      <c r="A330" s="239"/>
      <c r="B330" s="239"/>
      <c r="C330" s="239"/>
      <c r="D330" s="239"/>
      <c r="E330" s="239"/>
      <c r="F330" s="239"/>
      <c r="G330" s="239"/>
      <c r="H330" s="239"/>
    </row>
    <row r="331" spans="1:8" ht="18" customHeight="1">
      <c r="A331" s="239"/>
      <c r="B331" s="239"/>
      <c r="C331" s="239"/>
      <c r="D331" s="239"/>
      <c r="E331" s="239"/>
      <c r="F331" s="239"/>
      <c r="G331" s="239"/>
      <c r="H331" s="239"/>
    </row>
    <row r="332" spans="1:8" ht="18" customHeight="1">
      <c r="A332" s="239"/>
      <c r="B332" s="239"/>
      <c r="C332" s="239"/>
      <c r="D332" s="239"/>
      <c r="E332" s="239"/>
      <c r="F332" s="239"/>
      <c r="G332" s="239"/>
      <c r="H332" s="239"/>
    </row>
    <row r="333" spans="1:8" ht="18" customHeight="1">
      <c r="A333" s="239"/>
      <c r="B333" s="239"/>
      <c r="C333" s="239"/>
      <c r="D333" s="239"/>
      <c r="E333" s="239"/>
      <c r="F333" s="239"/>
      <c r="G333" s="239"/>
      <c r="H333" s="239"/>
    </row>
    <row r="334" spans="1:8" ht="18" customHeight="1">
      <c r="A334" s="239"/>
      <c r="B334" s="239"/>
      <c r="C334" s="239"/>
      <c r="D334" s="239"/>
      <c r="E334" s="239"/>
      <c r="F334" s="239"/>
      <c r="G334" s="239"/>
      <c r="H334" s="239"/>
    </row>
    <row r="335" spans="1:8" ht="18" customHeight="1">
      <c r="A335" s="239"/>
      <c r="B335" s="239"/>
      <c r="C335" s="239"/>
      <c r="D335" s="239"/>
      <c r="E335" s="239"/>
      <c r="F335" s="239"/>
      <c r="G335" s="239"/>
      <c r="H335" s="239"/>
    </row>
    <row r="336" spans="1:8" ht="18" customHeight="1">
      <c r="A336" s="239"/>
      <c r="B336" s="239"/>
      <c r="C336" s="239"/>
      <c r="D336" s="239"/>
      <c r="E336" s="239"/>
      <c r="F336" s="239"/>
      <c r="G336" s="239"/>
      <c r="H336" s="239"/>
    </row>
    <row r="337" spans="1:8" ht="18" customHeight="1">
      <c r="A337" s="239"/>
      <c r="B337" s="239"/>
      <c r="C337" s="239"/>
      <c r="D337" s="239"/>
      <c r="E337" s="239"/>
      <c r="F337" s="239"/>
      <c r="G337" s="239"/>
      <c r="H337" s="239"/>
    </row>
    <row r="338" spans="1:8" ht="18" customHeight="1">
      <c r="A338" s="239"/>
      <c r="B338" s="239"/>
      <c r="C338" s="239"/>
      <c r="D338" s="239"/>
      <c r="E338" s="239"/>
      <c r="F338" s="239"/>
      <c r="G338" s="239"/>
      <c r="H338" s="239"/>
    </row>
    <row r="339" spans="1:8" ht="18" customHeight="1">
      <c r="A339" s="239"/>
      <c r="B339" s="239"/>
      <c r="C339" s="239"/>
      <c r="D339" s="239"/>
      <c r="E339" s="239"/>
      <c r="F339" s="239"/>
      <c r="G339" s="239"/>
      <c r="H339" s="239"/>
    </row>
    <row r="340" spans="1:8" ht="18" customHeight="1">
      <c r="A340" s="239"/>
      <c r="B340" s="239"/>
      <c r="C340" s="239"/>
      <c r="D340" s="239"/>
      <c r="E340" s="239"/>
      <c r="F340" s="239"/>
      <c r="G340" s="239"/>
      <c r="H340" s="239"/>
    </row>
    <row r="341" spans="1:8" ht="18" customHeight="1">
      <c r="A341" s="239"/>
      <c r="B341" s="239"/>
      <c r="C341" s="239"/>
      <c r="D341" s="239"/>
      <c r="E341" s="239"/>
      <c r="F341" s="239"/>
      <c r="G341" s="239"/>
      <c r="H341" s="239"/>
    </row>
    <row r="342" spans="1:8" ht="18" customHeight="1">
      <c r="A342" s="239"/>
      <c r="B342" s="239"/>
      <c r="C342" s="239"/>
      <c r="D342" s="239"/>
      <c r="E342" s="239"/>
      <c r="F342" s="239"/>
      <c r="G342" s="239"/>
      <c r="H342" s="239"/>
    </row>
    <row r="343" spans="1:8" ht="18" customHeight="1">
      <c r="A343" s="239"/>
      <c r="B343" s="239"/>
      <c r="C343" s="239"/>
      <c r="D343" s="239"/>
      <c r="E343" s="239"/>
      <c r="F343" s="239"/>
      <c r="G343" s="239"/>
      <c r="H343" s="239"/>
    </row>
    <row r="344" spans="1:8" ht="18" customHeight="1">
      <c r="A344" s="239"/>
      <c r="B344" s="239"/>
      <c r="C344" s="239"/>
      <c r="D344" s="239"/>
      <c r="E344" s="239"/>
      <c r="F344" s="239"/>
      <c r="G344" s="239"/>
      <c r="H344" s="239"/>
    </row>
    <row r="345" spans="1:8" ht="18" customHeight="1">
      <c r="A345" s="239"/>
      <c r="B345" s="239"/>
      <c r="C345" s="239"/>
      <c r="D345" s="239"/>
      <c r="E345" s="239"/>
      <c r="F345" s="239"/>
      <c r="G345" s="239"/>
      <c r="H345" s="239"/>
    </row>
    <row r="346" spans="1:8" ht="18" customHeight="1">
      <c r="A346" s="239"/>
      <c r="B346" s="239"/>
      <c r="C346" s="239"/>
      <c r="D346" s="239"/>
      <c r="E346" s="239"/>
      <c r="F346" s="239"/>
      <c r="G346" s="239"/>
      <c r="H346" s="239"/>
    </row>
    <row r="347" spans="1:8" ht="18" customHeight="1">
      <c r="A347" s="239"/>
      <c r="B347" s="239"/>
      <c r="C347" s="239"/>
      <c r="D347" s="239"/>
      <c r="E347" s="239"/>
      <c r="F347" s="239"/>
      <c r="G347" s="239"/>
      <c r="H347" s="239"/>
    </row>
    <row r="348" spans="1:8" ht="18" customHeight="1">
      <c r="A348" s="239"/>
      <c r="B348" s="239"/>
      <c r="C348" s="239"/>
      <c r="D348" s="239"/>
      <c r="E348" s="239"/>
      <c r="F348" s="239"/>
      <c r="G348" s="239"/>
      <c r="H348" s="239"/>
    </row>
    <row r="349" spans="1:8" ht="18" customHeight="1">
      <c r="A349" s="239"/>
      <c r="B349" s="239"/>
      <c r="C349" s="239"/>
      <c r="D349" s="239"/>
      <c r="E349" s="239"/>
      <c r="F349" s="239"/>
      <c r="G349" s="239"/>
      <c r="H349" s="239"/>
    </row>
    <row r="350" spans="1:8" ht="18" customHeight="1">
      <c r="A350" s="239"/>
      <c r="B350" s="239"/>
      <c r="C350" s="239"/>
      <c r="D350" s="239"/>
      <c r="E350" s="239"/>
      <c r="F350" s="239"/>
      <c r="G350" s="239"/>
      <c r="H350" s="239"/>
    </row>
    <row r="351" spans="1:8" ht="18" customHeight="1">
      <c r="A351" s="239"/>
      <c r="B351" s="239"/>
      <c r="C351" s="239"/>
      <c r="D351" s="239"/>
      <c r="E351" s="239"/>
      <c r="F351" s="239"/>
      <c r="G351" s="239"/>
      <c r="H351" s="239"/>
    </row>
    <row r="352" spans="1:8" ht="18" customHeight="1">
      <c r="A352" s="239"/>
      <c r="B352" s="239"/>
      <c r="C352" s="239"/>
      <c r="D352" s="239"/>
      <c r="E352" s="239"/>
      <c r="F352" s="239"/>
      <c r="G352" s="239"/>
      <c r="H352" s="239"/>
    </row>
    <row r="353" spans="1:8" ht="18" customHeight="1">
      <c r="A353" s="239"/>
      <c r="B353" s="239"/>
      <c r="C353" s="239"/>
      <c r="D353" s="239"/>
      <c r="E353" s="239"/>
      <c r="F353" s="239"/>
      <c r="G353" s="239"/>
      <c r="H353" s="239"/>
    </row>
    <row r="354" spans="1:8" ht="18" customHeight="1">
      <c r="A354" s="239"/>
      <c r="B354" s="239"/>
      <c r="C354" s="239"/>
      <c r="D354" s="239"/>
      <c r="E354" s="239"/>
      <c r="F354" s="239"/>
      <c r="G354" s="239"/>
      <c r="H354" s="239"/>
    </row>
    <row r="355" spans="1:8" ht="18" customHeight="1">
      <c r="A355" s="239"/>
      <c r="B355" s="239"/>
      <c r="C355" s="239"/>
      <c r="D355" s="239"/>
      <c r="E355" s="239"/>
      <c r="F355" s="239"/>
      <c r="G355" s="239"/>
      <c r="H355" s="239"/>
    </row>
    <row r="356" spans="1:8" ht="18" customHeight="1">
      <c r="A356" s="239"/>
      <c r="B356" s="239"/>
      <c r="C356" s="239"/>
      <c r="D356" s="239"/>
      <c r="E356" s="239"/>
      <c r="F356" s="239"/>
      <c r="G356" s="239"/>
      <c r="H356" s="239"/>
    </row>
    <row r="357" spans="1:8" ht="18" customHeight="1">
      <c r="A357" s="239"/>
      <c r="B357" s="239"/>
      <c r="C357" s="239"/>
      <c r="D357" s="239"/>
      <c r="E357" s="239"/>
      <c r="F357" s="239"/>
      <c r="G357" s="239"/>
      <c r="H357" s="239"/>
    </row>
    <row r="358" spans="1:8" ht="18" customHeight="1">
      <c r="A358" s="239"/>
      <c r="B358" s="239"/>
      <c r="C358" s="239"/>
      <c r="D358" s="239"/>
      <c r="E358" s="239"/>
      <c r="F358" s="239"/>
      <c r="G358" s="239"/>
      <c r="H358" s="239"/>
    </row>
    <row r="359" spans="1:8" ht="18" customHeight="1">
      <c r="A359" s="239"/>
      <c r="B359" s="239"/>
      <c r="C359" s="239"/>
      <c r="D359" s="239"/>
      <c r="E359" s="239"/>
      <c r="F359" s="239"/>
      <c r="G359" s="239"/>
      <c r="H359" s="239"/>
    </row>
    <row r="360" spans="1:8" ht="18" customHeight="1">
      <c r="A360" s="239"/>
      <c r="B360" s="239"/>
      <c r="C360" s="239"/>
      <c r="D360" s="239"/>
      <c r="E360" s="239"/>
      <c r="F360" s="239"/>
      <c r="G360" s="239"/>
      <c r="H360" s="239"/>
    </row>
    <row r="361" spans="1:8" ht="18" customHeight="1">
      <c r="A361" s="239"/>
      <c r="B361" s="239"/>
      <c r="C361" s="239"/>
      <c r="D361" s="239"/>
      <c r="E361" s="239"/>
      <c r="F361" s="239"/>
      <c r="G361" s="239"/>
      <c r="H361" s="239"/>
    </row>
    <row r="362" spans="1:8" ht="18" customHeight="1">
      <c r="A362" s="239"/>
      <c r="B362" s="239"/>
      <c r="C362" s="239"/>
      <c r="D362" s="239"/>
      <c r="E362" s="239"/>
      <c r="F362" s="239"/>
      <c r="G362" s="239"/>
      <c r="H362" s="239"/>
    </row>
    <row r="363" spans="1:8" ht="18" customHeight="1">
      <c r="A363" s="239"/>
      <c r="B363" s="239"/>
      <c r="C363" s="239"/>
      <c r="D363" s="239"/>
      <c r="E363" s="239"/>
      <c r="F363" s="239"/>
      <c r="G363" s="239"/>
      <c r="H363" s="239"/>
    </row>
    <row r="364" spans="1:8" ht="18" customHeight="1">
      <c r="A364" s="239"/>
      <c r="B364" s="239"/>
      <c r="C364" s="239"/>
      <c r="D364" s="239"/>
      <c r="E364" s="239"/>
      <c r="F364" s="239"/>
      <c r="G364" s="239"/>
      <c r="H364" s="239"/>
    </row>
    <row r="365" spans="1:8" ht="18" customHeight="1">
      <c r="A365" s="239"/>
      <c r="B365" s="239"/>
      <c r="C365" s="239"/>
      <c r="D365" s="239"/>
      <c r="E365" s="239"/>
      <c r="F365" s="239"/>
      <c r="G365" s="239"/>
      <c r="H365" s="239"/>
    </row>
    <row r="366" spans="1:8" ht="18" customHeight="1">
      <c r="A366" s="239"/>
      <c r="B366" s="239"/>
      <c r="C366" s="239"/>
      <c r="D366" s="239"/>
      <c r="E366" s="239"/>
      <c r="F366" s="239"/>
      <c r="G366" s="239"/>
      <c r="H366" s="239"/>
    </row>
    <row r="367" spans="1:8" ht="18" customHeight="1">
      <c r="A367" s="239"/>
      <c r="B367" s="239"/>
      <c r="C367" s="239"/>
      <c r="D367" s="239"/>
      <c r="E367" s="239"/>
      <c r="F367" s="239"/>
      <c r="G367" s="239"/>
      <c r="H367" s="239"/>
    </row>
    <row r="368" spans="1:8" ht="18" customHeight="1">
      <c r="A368" s="239"/>
      <c r="B368" s="239"/>
      <c r="C368" s="239"/>
      <c r="D368" s="239"/>
      <c r="E368" s="239"/>
      <c r="F368" s="239"/>
      <c r="G368" s="239"/>
      <c r="H368" s="239"/>
    </row>
    <row r="369" spans="1:8" ht="18" customHeight="1">
      <c r="A369" s="239"/>
      <c r="B369" s="239"/>
      <c r="C369" s="239"/>
      <c r="D369" s="239"/>
      <c r="E369" s="239"/>
      <c r="F369" s="239"/>
      <c r="G369" s="239"/>
      <c r="H369" s="239"/>
    </row>
    <row r="370" spans="1:8" ht="18" customHeight="1">
      <c r="A370" s="239"/>
      <c r="B370" s="239"/>
      <c r="C370" s="239"/>
      <c r="D370" s="239"/>
      <c r="E370" s="239"/>
      <c r="F370" s="239"/>
      <c r="G370" s="239"/>
      <c r="H370" s="239"/>
    </row>
    <row r="371" spans="1:8" ht="18" customHeight="1">
      <c r="A371" s="239"/>
      <c r="B371" s="239"/>
      <c r="C371" s="239"/>
      <c r="D371" s="239"/>
      <c r="E371" s="239"/>
      <c r="F371" s="239"/>
      <c r="G371" s="239"/>
      <c r="H371" s="239"/>
    </row>
    <row r="372" spans="1:8" ht="18" customHeight="1">
      <c r="A372" s="239"/>
      <c r="B372" s="239"/>
      <c r="C372" s="239"/>
      <c r="D372" s="239"/>
      <c r="E372" s="239"/>
      <c r="F372" s="239"/>
      <c r="G372" s="239"/>
      <c r="H372" s="239"/>
    </row>
    <row r="373" spans="1:8" ht="18" customHeight="1">
      <c r="A373" s="239"/>
      <c r="B373" s="239"/>
      <c r="C373" s="239"/>
      <c r="D373" s="239"/>
      <c r="E373" s="239"/>
      <c r="F373" s="239"/>
      <c r="G373" s="239"/>
      <c r="H373" s="239"/>
    </row>
    <row r="374" spans="1:8" ht="18" customHeight="1">
      <c r="A374" s="239"/>
      <c r="B374" s="239"/>
      <c r="C374" s="239"/>
      <c r="D374" s="239"/>
      <c r="E374" s="239"/>
      <c r="F374" s="239"/>
      <c r="G374" s="239"/>
      <c r="H374" s="239"/>
    </row>
    <row r="375" spans="1:8" ht="18" customHeight="1">
      <c r="A375" s="239"/>
      <c r="B375" s="239"/>
      <c r="C375" s="239"/>
      <c r="D375" s="239"/>
      <c r="E375" s="239"/>
      <c r="F375" s="239"/>
      <c r="G375" s="239"/>
      <c r="H375" s="239"/>
    </row>
    <row r="376" spans="1:8" ht="18" customHeight="1">
      <c r="A376" s="239"/>
      <c r="B376" s="239"/>
      <c r="C376" s="239"/>
      <c r="D376" s="239"/>
      <c r="E376" s="239"/>
      <c r="F376" s="239"/>
      <c r="G376" s="239"/>
      <c r="H376" s="239"/>
    </row>
    <row r="377" spans="1:8" ht="18" customHeight="1">
      <c r="A377" s="239"/>
      <c r="B377" s="239"/>
      <c r="C377" s="239"/>
      <c r="D377" s="239"/>
      <c r="E377" s="239"/>
      <c r="F377" s="239"/>
      <c r="G377" s="239"/>
      <c r="H377" s="239"/>
    </row>
    <row r="378" spans="1:8" ht="18" customHeight="1">
      <c r="A378" s="239"/>
      <c r="B378" s="239"/>
      <c r="C378" s="239"/>
      <c r="D378" s="239"/>
      <c r="E378" s="239"/>
      <c r="F378" s="239"/>
      <c r="G378" s="239"/>
      <c r="H378" s="239"/>
    </row>
    <row r="379" spans="1:8" ht="18" customHeight="1">
      <c r="A379" s="239"/>
      <c r="B379" s="239"/>
      <c r="C379" s="239"/>
      <c r="D379" s="239"/>
      <c r="E379" s="239"/>
      <c r="F379" s="239"/>
      <c r="G379" s="239"/>
      <c r="H379" s="239"/>
    </row>
    <row r="380" spans="1:8" ht="18" customHeight="1">
      <c r="A380" s="239"/>
      <c r="B380" s="239"/>
      <c r="C380" s="239"/>
      <c r="D380" s="239"/>
      <c r="E380" s="239"/>
      <c r="F380" s="239"/>
      <c r="G380" s="239"/>
      <c r="H380" s="239"/>
    </row>
    <row r="381" spans="1:8" ht="18" customHeight="1">
      <c r="A381" s="239"/>
      <c r="B381" s="239"/>
      <c r="C381" s="239"/>
      <c r="D381" s="239"/>
      <c r="E381" s="239"/>
      <c r="F381" s="239"/>
      <c r="G381" s="239"/>
      <c r="H381" s="239"/>
    </row>
    <row r="382" spans="1:8" ht="18" customHeight="1">
      <c r="A382" s="239"/>
      <c r="B382" s="239"/>
      <c r="C382" s="239"/>
      <c r="D382" s="239"/>
      <c r="E382" s="239"/>
      <c r="F382" s="239"/>
      <c r="G382" s="239"/>
      <c r="H382" s="239"/>
    </row>
    <row r="383" spans="1:8" ht="18" customHeight="1">
      <c r="A383" s="239"/>
      <c r="B383" s="239"/>
      <c r="C383" s="239"/>
      <c r="D383" s="239"/>
      <c r="E383" s="239"/>
      <c r="F383" s="239"/>
      <c r="G383" s="239"/>
      <c r="H383" s="239"/>
    </row>
    <row r="384" spans="1:8" ht="18" customHeight="1">
      <c r="A384" s="239"/>
      <c r="B384" s="239"/>
      <c r="C384" s="239"/>
      <c r="D384" s="239"/>
      <c r="E384" s="239"/>
      <c r="F384" s="239"/>
      <c r="G384" s="239"/>
      <c r="H384" s="239"/>
    </row>
    <row r="385" spans="1:8" ht="18" customHeight="1">
      <c r="A385" s="239"/>
      <c r="B385" s="239"/>
      <c r="C385" s="239"/>
      <c r="D385" s="239"/>
      <c r="E385" s="239"/>
      <c r="F385" s="239"/>
      <c r="G385" s="239"/>
      <c r="H385" s="239"/>
    </row>
    <row r="386" spans="1:8" ht="18" customHeight="1">
      <c r="A386" s="239"/>
      <c r="B386" s="239"/>
      <c r="C386" s="239"/>
      <c r="D386" s="239"/>
      <c r="E386" s="239"/>
      <c r="F386" s="239"/>
      <c r="G386" s="239"/>
      <c r="H386" s="239"/>
    </row>
    <row r="387" spans="1:8" ht="18" customHeight="1">
      <c r="A387" s="239"/>
      <c r="B387" s="239"/>
      <c r="C387" s="239"/>
      <c r="D387" s="239"/>
      <c r="E387" s="239"/>
      <c r="F387" s="239"/>
      <c r="G387" s="239"/>
      <c r="H387" s="239"/>
    </row>
    <row r="388" spans="1:8" ht="18" customHeight="1">
      <c r="A388" s="239"/>
      <c r="B388" s="239"/>
      <c r="C388" s="239"/>
      <c r="D388" s="239"/>
      <c r="E388" s="239"/>
      <c r="F388" s="239"/>
      <c r="G388" s="239"/>
      <c r="H388" s="239"/>
    </row>
    <row r="389" spans="1:8" ht="18" customHeight="1">
      <c r="A389" s="239"/>
      <c r="B389" s="239"/>
      <c r="C389" s="239"/>
      <c r="D389" s="239"/>
      <c r="E389" s="239"/>
      <c r="F389" s="239"/>
      <c r="G389" s="239"/>
      <c r="H389" s="239"/>
    </row>
    <row r="390" spans="1:8" ht="18" customHeight="1">
      <c r="A390" s="239"/>
      <c r="B390" s="239"/>
      <c r="C390" s="239"/>
      <c r="D390" s="239"/>
      <c r="E390" s="239"/>
      <c r="F390" s="239"/>
      <c r="G390" s="239"/>
      <c r="H390" s="239"/>
    </row>
    <row r="391" spans="1:8" ht="18" customHeight="1">
      <c r="A391" s="239"/>
      <c r="B391" s="239"/>
      <c r="C391" s="239"/>
      <c r="D391" s="239"/>
      <c r="E391" s="239"/>
      <c r="F391" s="239"/>
      <c r="G391" s="239"/>
      <c r="H391" s="239"/>
    </row>
    <row r="392" spans="1:8" ht="18" customHeight="1">
      <c r="A392" s="239"/>
      <c r="B392" s="239"/>
      <c r="C392" s="239"/>
      <c r="D392" s="239"/>
      <c r="E392" s="239"/>
      <c r="F392" s="239"/>
      <c r="G392" s="239"/>
      <c r="H392" s="239"/>
    </row>
    <row r="393" spans="1:8" ht="18" customHeight="1">
      <c r="A393" s="239"/>
      <c r="B393" s="239"/>
      <c r="C393" s="239"/>
      <c r="D393" s="239"/>
      <c r="E393" s="239"/>
      <c r="F393" s="239"/>
      <c r="G393" s="239"/>
      <c r="H393" s="239"/>
    </row>
    <row r="394" spans="1:8" ht="18" customHeight="1">
      <c r="A394" s="239"/>
      <c r="B394" s="239"/>
      <c r="C394" s="239"/>
      <c r="D394" s="239"/>
      <c r="E394" s="239"/>
      <c r="F394" s="239"/>
      <c r="G394" s="239"/>
      <c r="H394" s="239"/>
    </row>
    <row r="395" spans="1:8" ht="18" customHeight="1">
      <c r="A395" s="239"/>
      <c r="B395" s="239"/>
      <c r="C395" s="239"/>
      <c r="D395" s="239"/>
      <c r="E395" s="239"/>
      <c r="F395" s="239"/>
      <c r="G395" s="239"/>
      <c r="H395" s="239"/>
    </row>
    <row r="396" spans="1:8" ht="18" customHeight="1">
      <c r="A396" s="239"/>
      <c r="B396" s="239"/>
      <c r="C396" s="239"/>
      <c r="D396" s="239"/>
      <c r="E396" s="239"/>
      <c r="F396" s="239"/>
      <c r="G396" s="239"/>
      <c r="H396" s="239"/>
    </row>
    <row r="397" spans="1:8" ht="18" customHeight="1">
      <c r="A397" s="239"/>
      <c r="B397" s="239"/>
      <c r="C397" s="239"/>
      <c r="D397" s="239"/>
      <c r="E397" s="239"/>
      <c r="F397" s="239"/>
      <c r="G397" s="239"/>
      <c r="H397" s="239"/>
    </row>
    <row r="398" spans="1:8" ht="18" customHeight="1">
      <c r="A398" s="239"/>
      <c r="B398" s="239"/>
      <c r="C398" s="239"/>
      <c r="D398" s="239"/>
      <c r="E398" s="239"/>
      <c r="F398" s="239"/>
      <c r="G398" s="239"/>
      <c r="H398" s="239"/>
    </row>
    <row r="399" spans="1:8" ht="18" customHeight="1">
      <c r="A399" s="239"/>
      <c r="B399" s="239"/>
      <c r="C399" s="239"/>
      <c r="D399" s="239"/>
      <c r="E399" s="239"/>
      <c r="F399" s="239"/>
      <c r="G399" s="239"/>
      <c r="H399" s="239"/>
    </row>
    <row r="400" spans="1:8" ht="18" customHeight="1">
      <c r="A400" s="239"/>
      <c r="B400" s="239"/>
      <c r="C400" s="239"/>
      <c r="D400" s="239"/>
      <c r="E400" s="239"/>
      <c r="F400" s="239"/>
      <c r="G400" s="239"/>
      <c r="H400" s="239"/>
    </row>
    <row r="401" spans="1:8" ht="18" customHeight="1">
      <c r="A401" s="239"/>
      <c r="B401" s="239"/>
      <c r="C401" s="239"/>
      <c r="D401" s="239"/>
      <c r="E401" s="239"/>
      <c r="F401" s="239"/>
      <c r="G401" s="239"/>
      <c r="H401" s="239"/>
    </row>
    <row r="402" spans="1:8" ht="18" customHeight="1">
      <c r="A402" s="239"/>
      <c r="B402" s="239"/>
      <c r="C402" s="239"/>
      <c r="D402" s="239"/>
      <c r="E402" s="239"/>
      <c r="F402" s="239"/>
      <c r="G402" s="239"/>
      <c r="H402" s="239"/>
    </row>
    <row r="403" spans="1:8" ht="18" customHeight="1">
      <c r="A403" s="239"/>
      <c r="B403" s="239"/>
      <c r="C403" s="239"/>
      <c r="D403" s="239"/>
      <c r="E403" s="239"/>
      <c r="F403" s="239"/>
      <c r="G403" s="239"/>
      <c r="H403" s="239"/>
    </row>
    <row r="404" spans="1:8" ht="18" customHeight="1">
      <c r="A404" s="239"/>
      <c r="B404" s="239"/>
      <c r="C404" s="239"/>
      <c r="D404" s="239"/>
      <c r="E404" s="239"/>
      <c r="F404" s="239"/>
      <c r="G404" s="239"/>
      <c r="H404" s="239"/>
    </row>
    <row r="405" spans="1:8" ht="18" customHeight="1">
      <c r="A405" s="239"/>
      <c r="B405" s="239"/>
      <c r="C405" s="239"/>
      <c r="D405" s="239"/>
      <c r="E405" s="239"/>
      <c r="F405" s="239"/>
      <c r="G405" s="239"/>
      <c r="H405" s="239"/>
    </row>
    <row r="406" spans="1:8" ht="18" customHeight="1">
      <c r="A406" s="239"/>
      <c r="B406" s="239"/>
      <c r="C406" s="239"/>
      <c r="D406" s="239"/>
      <c r="E406" s="239"/>
      <c r="F406" s="239"/>
      <c r="G406" s="239"/>
      <c r="H406" s="239"/>
    </row>
    <row r="407" spans="1:8" ht="18" customHeight="1">
      <c r="A407" s="239"/>
      <c r="B407" s="239"/>
      <c r="C407" s="239"/>
      <c r="D407" s="239"/>
      <c r="E407" s="239"/>
      <c r="F407" s="239"/>
      <c r="G407" s="239"/>
      <c r="H407" s="239"/>
    </row>
    <row r="408" spans="1:8" ht="18" customHeight="1">
      <c r="A408" s="239"/>
      <c r="B408" s="239"/>
      <c r="C408" s="239"/>
      <c r="D408" s="239"/>
      <c r="E408" s="239"/>
      <c r="F408" s="239"/>
      <c r="G408" s="239"/>
      <c r="H408" s="239"/>
    </row>
    <row r="409" spans="1:8" ht="18" customHeight="1">
      <c r="A409" s="239"/>
      <c r="B409" s="239"/>
      <c r="C409" s="239"/>
      <c r="D409" s="239"/>
      <c r="E409" s="239"/>
      <c r="F409" s="239"/>
      <c r="G409" s="239"/>
      <c r="H409" s="239"/>
    </row>
    <row r="410" spans="1:8" ht="18" customHeight="1">
      <c r="A410" s="239"/>
      <c r="B410" s="239"/>
      <c r="C410" s="239"/>
      <c r="D410" s="239"/>
      <c r="E410" s="239"/>
      <c r="F410" s="239"/>
      <c r="G410" s="239"/>
      <c r="H410" s="239"/>
    </row>
    <row r="411" spans="1:8" ht="18" customHeight="1">
      <c r="A411" s="239"/>
      <c r="B411" s="239"/>
      <c r="C411" s="239"/>
      <c r="D411" s="239"/>
      <c r="E411" s="239"/>
      <c r="F411" s="239"/>
      <c r="G411" s="239"/>
      <c r="H411" s="239"/>
    </row>
    <row r="412" spans="1:8" ht="18" customHeight="1">
      <c r="A412" s="239"/>
      <c r="B412" s="239"/>
      <c r="C412" s="239"/>
      <c r="D412" s="239"/>
      <c r="E412" s="239"/>
      <c r="F412" s="239"/>
      <c r="G412" s="239"/>
      <c r="H412" s="239"/>
    </row>
    <row r="413" spans="1:8" ht="18" customHeight="1">
      <c r="A413" s="239"/>
      <c r="B413" s="239"/>
      <c r="C413" s="239"/>
      <c r="D413" s="239"/>
      <c r="E413" s="239"/>
      <c r="F413" s="239"/>
      <c r="G413" s="239"/>
      <c r="H413" s="239"/>
    </row>
    <row r="414" spans="1:8" ht="18" customHeight="1">
      <c r="A414" s="239"/>
      <c r="B414" s="239"/>
      <c r="C414" s="239"/>
      <c r="D414" s="239"/>
      <c r="E414" s="239"/>
      <c r="F414" s="239"/>
      <c r="G414" s="239"/>
      <c r="H414" s="239"/>
    </row>
    <row r="415" spans="1:8" ht="18" customHeight="1">
      <c r="A415" s="239"/>
      <c r="B415" s="239"/>
      <c r="C415" s="239"/>
      <c r="D415" s="239"/>
      <c r="E415" s="239"/>
      <c r="F415" s="239"/>
      <c r="G415" s="239"/>
      <c r="H415" s="239"/>
    </row>
    <row r="416" spans="1:8" ht="18" customHeight="1">
      <c r="A416" s="239"/>
      <c r="B416" s="239"/>
      <c r="C416" s="239"/>
      <c r="D416" s="239"/>
      <c r="E416" s="239"/>
      <c r="F416" s="239"/>
      <c r="G416" s="239"/>
      <c r="H416" s="239"/>
    </row>
    <row r="417" spans="1:8" ht="18" customHeight="1">
      <c r="A417" s="239"/>
      <c r="B417" s="239"/>
      <c r="C417" s="239"/>
      <c r="D417" s="239"/>
      <c r="E417" s="239"/>
      <c r="F417" s="239"/>
      <c r="G417" s="239"/>
      <c r="H417" s="239"/>
    </row>
    <row r="418" spans="1:8" ht="18" customHeight="1">
      <c r="A418" s="239"/>
      <c r="B418" s="239"/>
      <c r="C418" s="239"/>
      <c r="D418" s="239"/>
      <c r="E418" s="239"/>
      <c r="F418" s="239"/>
      <c r="G418" s="239"/>
      <c r="H418" s="239"/>
    </row>
    <row r="419" spans="1:8" ht="18" customHeight="1">
      <c r="A419" s="239"/>
      <c r="B419" s="239"/>
      <c r="C419" s="239"/>
      <c r="D419" s="239"/>
      <c r="E419" s="239"/>
      <c r="F419" s="239"/>
      <c r="G419" s="239"/>
      <c r="H419" s="239"/>
    </row>
    <row r="420" spans="1:8" ht="18" customHeight="1">
      <c r="A420" s="239"/>
      <c r="B420" s="239"/>
      <c r="C420" s="239"/>
      <c r="D420" s="239"/>
      <c r="E420" s="239"/>
      <c r="F420" s="239"/>
      <c r="G420" s="239"/>
      <c r="H420" s="239"/>
    </row>
    <row r="421" spans="1:8" ht="18" customHeight="1">
      <c r="A421" s="239"/>
      <c r="B421" s="239"/>
      <c r="C421" s="239"/>
      <c r="D421" s="239"/>
      <c r="E421" s="239"/>
      <c r="F421" s="239"/>
      <c r="G421" s="239"/>
      <c r="H421" s="239"/>
    </row>
    <row r="422" spans="1:8" ht="18" customHeight="1">
      <c r="A422" s="239"/>
      <c r="B422" s="239"/>
      <c r="C422" s="239"/>
      <c r="D422" s="239"/>
      <c r="E422" s="239"/>
      <c r="F422" s="239"/>
      <c r="G422" s="239"/>
      <c r="H422" s="239"/>
    </row>
    <row r="423" spans="1:8" ht="18" customHeight="1">
      <c r="A423" s="239"/>
      <c r="B423" s="239"/>
      <c r="C423" s="239"/>
      <c r="D423" s="239"/>
      <c r="E423" s="239"/>
      <c r="F423" s="239"/>
      <c r="G423" s="239"/>
      <c r="H423" s="239"/>
    </row>
    <row r="424" spans="1:8" ht="18" customHeight="1">
      <c r="A424" s="239"/>
      <c r="B424" s="239"/>
      <c r="C424" s="239"/>
      <c r="D424" s="239"/>
      <c r="E424" s="239"/>
      <c r="F424" s="239"/>
      <c r="G424" s="239"/>
      <c r="H424" s="239"/>
    </row>
    <row r="425" spans="1:8" ht="18" customHeight="1">
      <c r="A425" s="239"/>
      <c r="B425" s="239"/>
      <c r="C425" s="239"/>
      <c r="D425" s="239"/>
      <c r="E425" s="239"/>
      <c r="F425" s="239"/>
      <c r="G425" s="239"/>
      <c r="H425" s="239"/>
    </row>
    <row r="426" spans="1:8" ht="18" customHeight="1">
      <c r="A426" s="239"/>
      <c r="B426" s="239"/>
      <c r="C426" s="239"/>
      <c r="D426" s="239"/>
      <c r="E426" s="239"/>
      <c r="F426" s="239"/>
      <c r="G426" s="239"/>
      <c r="H426" s="239"/>
    </row>
    <row r="427" spans="1:8" ht="18" customHeight="1">
      <c r="A427" s="239"/>
      <c r="B427" s="239"/>
      <c r="C427" s="239"/>
      <c r="D427" s="239"/>
      <c r="E427" s="239"/>
      <c r="F427" s="239"/>
      <c r="G427" s="239"/>
      <c r="H427" s="239"/>
    </row>
    <row r="428" spans="1:8" ht="18" customHeight="1">
      <c r="A428" s="239"/>
      <c r="B428" s="239"/>
      <c r="C428" s="239"/>
      <c r="D428" s="239"/>
      <c r="E428" s="239"/>
      <c r="F428" s="239"/>
      <c r="G428" s="239"/>
      <c r="H428" s="239"/>
    </row>
    <row r="429" spans="1:8" ht="18" customHeight="1">
      <c r="A429" s="239"/>
      <c r="B429" s="239"/>
      <c r="C429" s="239"/>
      <c r="D429" s="239"/>
      <c r="E429" s="239"/>
      <c r="F429" s="239"/>
      <c r="G429" s="239"/>
      <c r="H429" s="239"/>
    </row>
    <row r="430" spans="1:8" ht="18" customHeight="1">
      <c r="A430" s="239"/>
      <c r="B430" s="239"/>
      <c r="C430" s="239"/>
      <c r="D430" s="239"/>
      <c r="E430" s="239"/>
      <c r="F430" s="239"/>
      <c r="G430" s="239"/>
      <c r="H430" s="239"/>
    </row>
    <row r="431" spans="1:8" ht="18" customHeight="1">
      <c r="A431" s="239"/>
      <c r="B431" s="239"/>
      <c r="C431" s="239"/>
      <c r="D431" s="239"/>
      <c r="E431" s="239"/>
      <c r="F431" s="239"/>
      <c r="G431" s="239"/>
      <c r="H431" s="239"/>
    </row>
    <row r="432" spans="1:8" ht="18" customHeight="1">
      <c r="A432" s="239"/>
      <c r="B432" s="239"/>
      <c r="C432" s="239"/>
      <c r="D432" s="239"/>
      <c r="E432" s="239"/>
      <c r="F432" s="239"/>
      <c r="G432" s="239"/>
      <c r="H432" s="239"/>
    </row>
    <row r="433" spans="1:8" ht="18" customHeight="1">
      <c r="A433" s="239"/>
      <c r="B433" s="239"/>
      <c r="C433" s="239"/>
      <c r="D433" s="239"/>
      <c r="E433" s="239"/>
      <c r="F433" s="239"/>
      <c r="G433" s="239"/>
      <c r="H433" s="239"/>
    </row>
    <row r="434" spans="1:8" ht="18" customHeight="1">
      <c r="A434" s="239"/>
      <c r="B434" s="239"/>
      <c r="C434" s="239"/>
      <c r="D434" s="239"/>
      <c r="E434" s="239"/>
      <c r="F434" s="239"/>
      <c r="G434" s="239"/>
      <c r="H434" s="239"/>
    </row>
    <row r="435" spans="1:8" ht="18" customHeight="1">
      <c r="A435" s="239"/>
      <c r="B435" s="239"/>
      <c r="C435" s="239"/>
      <c r="D435" s="239"/>
      <c r="E435" s="239"/>
      <c r="F435" s="239"/>
      <c r="G435" s="239"/>
      <c r="H435" s="239"/>
    </row>
    <row r="436" spans="1:8" ht="18" customHeight="1">
      <c r="A436" s="239"/>
      <c r="B436" s="239"/>
      <c r="C436" s="239"/>
      <c r="D436" s="239"/>
      <c r="E436" s="239"/>
      <c r="F436" s="239"/>
      <c r="G436" s="239"/>
      <c r="H436" s="239"/>
    </row>
    <row r="437" spans="1:8" ht="18" customHeight="1">
      <c r="A437" s="239"/>
      <c r="B437" s="239"/>
      <c r="C437" s="239"/>
      <c r="D437" s="239"/>
      <c r="E437" s="239"/>
      <c r="F437" s="239"/>
      <c r="G437" s="239"/>
      <c r="H437" s="239"/>
    </row>
    <row r="438" spans="1:8" ht="18" customHeight="1">
      <c r="A438" s="239"/>
      <c r="B438" s="239"/>
      <c r="C438" s="239"/>
      <c r="D438" s="239"/>
      <c r="E438" s="239"/>
      <c r="F438" s="239"/>
      <c r="G438" s="239"/>
      <c r="H438" s="239"/>
    </row>
    <row r="439" spans="1:8" ht="18" customHeight="1">
      <c r="A439" s="239"/>
      <c r="B439" s="239"/>
      <c r="C439" s="239"/>
      <c r="D439" s="239"/>
      <c r="E439" s="239"/>
      <c r="F439" s="239"/>
      <c r="G439" s="239"/>
      <c r="H439" s="239"/>
    </row>
    <row r="440" spans="1:8" ht="18" customHeight="1">
      <c r="A440" s="239"/>
      <c r="B440" s="239"/>
      <c r="C440" s="239"/>
      <c r="D440" s="239"/>
      <c r="E440" s="239"/>
      <c r="F440" s="239"/>
      <c r="G440" s="239"/>
      <c r="H440" s="239"/>
    </row>
    <row r="441" spans="1:8" ht="18" customHeight="1">
      <c r="A441" s="239"/>
      <c r="B441" s="239"/>
      <c r="C441" s="239"/>
      <c r="D441" s="239"/>
      <c r="E441" s="239"/>
      <c r="F441" s="239"/>
      <c r="G441" s="239"/>
      <c r="H441" s="239"/>
    </row>
    <row r="442" spans="1:8" ht="18" customHeight="1">
      <c r="A442" s="239"/>
      <c r="B442" s="239"/>
      <c r="C442" s="239"/>
      <c r="D442" s="239"/>
      <c r="E442" s="239"/>
      <c r="F442" s="239"/>
      <c r="G442" s="239"/>
      <c r="H442" s="239"/>
    </row>
    <row r="443" spans="1:8" ht="18" customHeight="1">
      <c r="A443" s="239"/>
      <c r="B443" s="239"/>
      <c r="C443" s="239"/>
      <c r="D443" s="239"/>
      <c r="E443" s="239"/>
      <c r="F443" s="239"/>
      <c r="G443" s="239"/>
      <c r="H443" s="239"/>
    </row>
    <row r="444" spans="1:8" ht="18" customHeight="1">
      <c r="A444" s="239"/>
      <c r="B444" s="239"/>
      <c r="C444" s="239"/>
      <c r="D444" s="239"/>
      <c r="E444" s="239"/>
      <c r="F444" s="239"/>
      <c r="G444" s="239"/>
      <c r="H444" s="239"/>
    </row>
    <row r="445" spans="1:8" ht="18" customHeight="1">
      <c r="A445" s="239"/>
      <c r="B445" s="239"/>
      <c r="C445" s="239"/>
      <c r="D445" s="239"/>
      <c r="E445" s="239"/>
      <c r="F445" s="239"/>
      <c r="G445" s="239"/>
      <c r="H445" s="239"/>
    </row>
    <row r="446" spans="1:8" ht="18" customHeight="1">
      <c r="A446" s="239"/>
      <c r="B446" s="239"/>
      <c r="C446" s="239"/>
      <c r="D446" s="239"/>
      <c r="E446" s="239"/>
      <c r="F446" s="239"/>
      <c r="G446" s="239"/>
      <c r="H446" s="239"/>
    </row>
    <row r="447" spans="1:8" ht="18" customHeight="1">
      <c r="A447" s="239"/>
      <c r="B447" s="239"/>
      <c r="C447" s="239"/>
      <c r="D447" s="239"/>
      <c r="E447" s="239"/>
      <c r="F447" s="239"/>
      <c r="G447" s="239"/>
      <c r="H447" s="239"/>
    </row>
    <row r="448" spans="1:8" ht="18" customHeight="1">
      <c r="A448" s="239"/>
      <c r="B448" s="239"/>
      <c r="C448" s="239"/>
      <c r="D448" s="239"/>
      <c r="E448" s="239"/>
      <c r="F448" s="239"/>
      <c r="G448" s="239"/>
      <c r="H448" s="239"/>
    </row>
    <row r="449" spans="1:8" ht="18" customHeight="1">
      <c r="A449" s="239"/>
      <c r="B449" s="239"/>
      <c r="C449" s="239"/>
      <c r="D449" s="239"/>
      <c r="E449" s="239"/>
      <c r="F449" s="239"/>
      <c r="G449" s="239"/>
      <c r="H449" s="239"/>
    </row>
    <row r="450" spans="1:8" ht="18" customHeight="1">
      <c r="A450" s="239"/>
      <c r="B450" s="239"/>
      <c r="C450" s="239"/>
      <c r="D450" s="239"/>
      <c r="E450" s="239"/>
      <c r="F450" s="239"/>
      <c r="G450" s="239"/>
      <c r="H450" s="239"/>
    </row>
    <row r="451" spans="1:8" ht="18" customHeight="1">
      <c r="A451" s="239"/>
      <c r="B451" s="239"/>
      <c r="C451" s="239"/>
      <c r="D451" s="239"/>
      <c r="E451" s="239"/>
      <c r="F451" s="239"/>
      <c r="G451" s="239"/>
      <c r="H451" s="239"/>
    </row>
    <row r="452" spans="1:8" ht="18" customHeight="1">
      <c r="A452" s="239"/>
      <c r="B452" s="239"/>
      <c r="C452" s="239"/>
      <c r="D452" s="239"/>
      <c r="E452" s="239"/>
      <c r="F452" s="239"/>
      <c r="G452" s="239"/>
      <c r="H452" s="239"/>
    </row>
    <row r="453" spans="1:8" ht="18" customHeight="1">
      <c r="A453" s="239"/>
      <c r="B453" s="239"/>
      <c r="C453" s="239"/>
      <c r="D453" s="239"/>
      <c r="E453" s="239"/>
      <c r="F453" s="239"/>
      <c r="G453" s="239"/>
      <c r="H453" s="239"/>
    </row>
    <row r="454" spans="1:8" ht="18" customHeight="1">
      <c r="A454" s="239"/>
      <c r="B454" s="239"/>
      <c r="C454" s="239"/>
      <c r="D454" s="239"/>
      <c r="E454" s="239"/>
      <c r="F454" s="239"/>
      <c r="G454" s="239"/>
      <c r="H454" s="239"/>
    </row>
    <row r="455" spans="1:8" ht="18" customHeight="1">
      <c r="A455" s="239"/>
      <c r="B455" s="239"/>
      <c r="C455" s="239"/>
      <c r="D455" s="239"/>
      <c r="E455" s="239"/>
      <c r="F455" s="239"/>
      <c r="G455" s="239"/>
      <c r="H455" s="239"/>
    </row>
    <row r="456" spans="1:8" ht="18" customHeight="1">
      <c r="A456" s="239"/>
      <c r="B456" s="239"/>
      <c r="C456" s="239"/>
      <c r="D456" s="239"/>
      <c r="E456" s="239"/>
      <c r="F456" s="239"/>
      <c r="G456" s="239"/>
      <c r="H456" s="239"/>
    </row>
    <row r="457" spans="1:8" ht="18" customHeight="1">
      <c r="A457" s="239"/>
      <c r="B457" s="239"/>
      <c r="C457" s="239"/>
      <c r="D457" s="239"/>
      <c r="E457" s="239"/>
      <c r="F457" s="239"/>
      <c r="G457" s="239"/>
      <c r="H457" s="239"/>
    </row>
    <row r="458" spans="1:8" ht="18" customHeight="1">
      <c r="A458" s="239"/>
      <c r="B458" s="239"/>
      <c r="C458" s="239"/>
      <c r="D458" s="239"/>
      <c r="E458" s="239"/>
      <c r="F458" s="239"/>
      <c r="G458" s="239"/>
      <c r="H458" s="239"/>
    </row>
    <row r="459" spans="1:8" ht="18" customHeight="1">
      <c r="A459" s="239"/>
      <c r="B459" s="239"/>
      <c r="C459" s="239"/>
      <c r="D459" s="239"/>
      <c r="E459" s="239"/>
      <c r="F459" s="239"/>
      <c r="G459" s="239"/>
      <c r="H459" s="239"/>
    </row>
    <row r="460" spans="1:8" ht="18" customHeight="1">
      <c r="A460" s="239"/>
      <c r="B460" s="239"/>
      <c r="C460" s="239"/>
      <c r="D460" s="239"/>
      <c r="E460" s="239"/>
      <c r="F460" s="239"/>
      <c r="G460" s="239"/>
      <c r="H460" s="239"/>
    </row>
    <row r="461" spans="1:8" ht="18" customHeight="1">
      <c r="A461" s="239"/>
      <c r="B461" s="239"/>
      <c r="C461" s="239"/>
      <c r="D461" s="239"/>
      <c r="E461" s="239"/>
      <c r="F461" s="239"/>
      <c r="G461" s="239"/>
      <c r="H461" s="239"/>
    </row>
    <row r="462" spans="1:8" ht="18" customHeight="1">
      <c r="A462" s="239"/>
      <c r="B462" s="239"/>
      <c r="C462" s="239"/>
      <c r="D462" s="239"/>
      <c r="E462" s="239"/>
      <c r="F462" s="239"/>
      <c r="G462" s="239"/>
      <c r="H462" s="239"/>
    </row>
    <row r="463" spans="1:8" ht="18" customHeight="1">
      <c r="A463" s="239"/>
      <c r="B463" s="239"/>
      <c r="C463" s="239"/>
      <c r="D463" s="239"/>
      <c r="E463" s="239"/>
      <c r="F463" s="239"/>
      <c r="G463" s="239"/>
      <c r="H463" s="239"/>
    </row>
    <row r="464" spans="1:8" ht="18" customHeight="1">
      <c r="A464" s="239"/>
      <c r="B464" s="239"/>
      <c r="C464" s="239"/>
      <c r="D464" s="239"/>
      <c r="E464" s="239"/>
      <c r="F464" s="239"/>
      <c r="G464" s="239"/>
      <c r="H464" s="239"/>
    </row>
    <row r="465" spans="1:8" ht="18" customHeight="1">
      <c r="A465" s="239"/>
      <c r="B465" s="239"/>
      <c r="C465" s="239"/>
      <c r="D465" s="239"/>
      <c r="E465" s="239"/>
      <c r="F465" s="239"/>
      <c r="G465" s="239"/>
      <c r="H465" s="239"/>
    </row>
    <row r="466" spans="1:8" ht="18" customHeight="1">
      <c r="A466" s="239"/>
      <c r="B466" s="239"/>
      <c r="C466" s="239"/>
      <c r="D466" s="239"/>
      <c r="E466" s="239"/>
      <c r="F466" s="239"/>
      <c r="G466" s="239"/>
      <c r="H466" s="239"/>
    </row>
    <row r="467" spans="1:8" ht="18" customHeight="1">
      <c r="A467" s="239"/>
      <c r="B467" s="239"/>
      <c r="C467" s="239"/>
      <c r="D467" s="239"/>
      <c r="E467" s="239"/>
      <c r="F467" s="239"/>
      <c r="G467" s="239"/>
      <c r="H467" s="239"/>
    </row>
    <row r="468" spans="1:8" ht="18" customHeight="1">
      <c r="A468" s="239"/>
      <c r="B468" s="239"/>
      <c r="C468" s="239"/>
      <c r="D468" s="239"/>
      <c r="E468" s="239"/>
      <c r="F468" s="239"/>
      <c r="G468" s="239"/>
      <c r="H468" s="239"/>
    </row>
    <row r="469" spans="1:8" ht="18" customHeight="1">
      <c r="A469" s="239"/>
      <c r="B469" s="239"/>
      <c r="C469" s="239"/>
      <c r="D469" s="239"/>
      <c r="E469" s="239"/>
      <c r="F469" s="239"/>
      <c r="G469" s="239"/>
      <c r="H469" s="239"/>
    </row>
    <row r="470" spans="1:8" ht="18" customHeight="1">
      <c r="A470" s="239"/>
      <c r="B470" s="239"/>
      <c r="C470" s="239"/>
      <c r="D470" s="239"/>
      <c r="E470" s="239"/>
      <c r="F470" s="239"/>
      <c r="G470" s="239"/>
      <c r="H470" s="239"/>
    </row>
    <row r="471" spans="1:8" ht="18" customHeight="1">
      <c r="A471" s="239"/>
      <c r="B471" s="239"/>
      <c r="C471" s="239"/>
      <c r="D471" s="239"/>
      <c r="E471" s="239"/>
      <c r="F471" s="239"/>
      <c r="G471" s="239"/>
      <c r="H471" s="239"/>
    </row>
    <row r="472" spans="1:8" ht="18" customHeight="1">
      <c r="A472" s="239"/>
      <c r="B472" s="239"/>
      <c r="C472" s="239"/>
      <c r="D472" s="239"/>
      <c r="E472" s="239"/>
      <c r="F472" s="239"/>
      <c r="G472" s="239"/>
      <c r="H472" s="239"/>
    </row>
    <row r="473" spans="1:8" ht="18" customHeight="1">
      <c r="A473" s="239"/>
      <c r="B473" s="239"/>
      <c r="C473" s="239"/>
      <c r="D473" s="239"/>
      <c r="E473" s="239"/>
      <c r="F473" s="239"/>
      <c r="G473" s="239"/>
      <c r="H473" s="239"/>
    </row>
    <row r="474" spans="1:8" ht="18" customHeight="1">
      <c r="A474" s="239"/>
      <c r="B474" s="239"/>
      <c r="C474" s="239"/>
      <c r="D474" s="239"/>
      <c r="E474" s="239"/>
      <c r="F474" s="239"/>
      <c r="G474" s="239"/>
      <c r="H474" s="239"/>
    </row>
    <row r="475" spans="1:8" ht="18" customHeight="1">
      <c r="A475" s="239"/>
      <c r="B475" s="239"/>
      <c r="C475" s="239"/>
      <c r="D475" s="239"/>
      <c r="E475" s="239"/>
      <c r="F475" s="239"/>
      <c r="G475" s="239"/>
      <c r="H475" s="239"/>
    </row>
    <row r="476" spans="1:8" ht="18" customHeight="1">
      <c r="A476" s="239"/>
      <c r="B476" s="239"/>
      <c r="C476" s="239"/>
      <c r="D476" s="239"/>
      <c r="E476" s="239"/>
      <c r="F476" s="239"/>
      <c r="G476" s="239"/>
      <c r="H476" s="239"/>
    </row>
    <row r="477" spans="1:8" ht="18" customHeight="1">
      <c r="A477" s="239"/>
      <c r="B477" s="239"/>
      <c r="C477" s="239"/>
      <c r="D477" s="239"/>
      <c r="E477" s="239"/>
      <c r="F477" s="239"/>
      <c r="G477" s="239"/>
      <c r="H477" s="239"/>
    </row>
    <row r="478" spans="1:8" ht="18" customHeight="1">
      <c r="A478" s="239"/>
      <c r="B478" s="239"/>
      <c r="C478" s="239"/>
      <c r="D478" s="239"/>
      <c r="E478" s="239"/>
      <c r="F478" s="239"/>
      <c r="G478" s="239"/>
      <c r="H478" s="239"/>
    </row>
    <row r="479" spans="1:8" ht="18" customHeight="1">
      <c r="A479" s="239"/>
      <c r="B479" s="239"/>
      <c r="C479" s="239"/>
      <c r="D479" s="239"/>
      <c r="E479" s="239"/>
      <c r="F479" s="239"/>
      <c r="G479" s="239"/>
      <c r="H479" s="239"/>
    </row>
    <row r="480" spans="1:8" ht="18" customHeight="1">
      <c r="A480" s="239"/>
      <c r="B480" s="239"/>
      <c r="C480" s="239"/>
      <c r="D480" s="239"/>
      <c r="E480" s="239"/>
      <c r="F480" s="239"/>
      <c r="G480" s="239"/>
      <c r="H480" s="239"/>
    </row>
    <row r="481" spans="1:8" ht="18" customHeight="1">
      <c r="A481" s="239"/>
      <c r="B481" s="239"/>
      <c r="C481" s="239"/>
      <c r="D481" s="239"/>
      <c r="E481" s="239"/>
      <c r="F481" s="239"/>
      <c r="G481" s="239"/>
      <c r="H481" s="239"/>
    </row>
    <row r="482" spans="1:8" ht="18" customHeight="1">
      <c r="A482" s="239"/>
      <c r="B482" s="239"/>
      <c r="C482" s="239"/>
      <c r="D482" s="239"/>
      <c r="E482" s="239"/>
      <c r="F482" s="239"/>
      <c r="G482" s="239"/>
      <c r="H482" s="239"/>
    </row>
    <row r="483" spans="1:8" ht="18" customHeight="1">
      <c r="A483" s="239"/>
      <c r="B483" s="239"/>
      <c r="C483" s="239"/>
      <c r="D483" s="239"/>
      <c r="E483" s="239"/>
      <c r="F483" s="239"/>
      <c r="G483" s="239"/>
      <c r="H483" s="239"/>
    </row>
    <row r="484" spans="1:8" ht="18" customHeight="1">
      <c r="A484" s="239"/>
      <c r="B484" s="239"/>
      <c r="C484" s="239"/>
      <c r="D484" s="239"/>
      <c r="E484" s="239"/>
      <c r="F484" s="239"/>
      <c r="G484" s="239"/>
      <c r="H484" s="239"/>
    </row>
    <row r="485" spans="1:8" ht="18" customHeight="1">
      <c r="A485" s="239"/>
      <c r="B485" s="239"/>
      <c r="C485" s="239"/>
      <c r="D485" s="239"/>
      <c r="E485" s="239"/>
      <c r="F485" s="239"/>
      <c r="G485" s="239"/>
      <c r="H485" s="239"/>
    </row>
    <row r="486" spans="1:8" ht="18" customHeight="1">
      <c r="A486" s="239"/>
      <c r="B486" s="239"/>
      <c r="C486" s="239"/>
      <c r="D486" s="239"/>
      <c r="E486" s="239"/>
      <c r="F486" s="239"/>
      <c r="G486" s="239"/>
      <c r="H486" s="239"/>
    </row>
    <row r="487" spans="1:8" ht="18" customHeight="1">
      <c r="A487" s="239"/>
      <c r="B487" s="239"/>
      <c r="C487" s="239"/>
      <c r="D487" s="239"/>
      <c r="E487" s="239"/>
      <c r="F487" s="239"/>
      <c r="G487" s="239"/>
      <c r="H487" s="239"/>
    </row>
    <row r="488" spans="1:8" ht="18" customHeight="1">
      <c r="A488" s="239"/>
      <c r="B488" s="239"/>
      <c r="C488" s="239"/>
      <c r="D488" s="239"/>
      <c r="E488" s="239"/>
      <c r="F488" s="239"/>
      <c r="G488" s="239"/>
      <c r="H488" s="239"/>
    </row>
    <row r="489" spans="1:8" ht="18" customHeight="1">
      <c r="A489" s="239"/>
      <c r="B489" s="239"/>
      <c r="C489" s="239"/>
      <c r="D489" s="239"/>
      <c r="E489" s="239"/>
      <c r="F489" s="239"/>
      <c r="G489" s="239"/>
      <c r="H489" s="239"/>
    </row>
    <row r="490" spans="1:8" ht="18" customHeight="1">
      <c r="A490" s="239"/>
      <c r="B490" s="239"/>
      <c r="C490" s="239"/>
      <c r="D490" s="239"/>
      <c r="E490" s="239"/>
      <c r="F490" s="239"/>
      <c r="G490" s="239"/>
      <c r="H490" s="239"/>
    </row>
    <row r="491" spans="1:8" ht="18" customHeight="1">
      <c r="A491" s="239"/>
      <c r="B491" s="239"/>
      <c r="C491" s="239"/>
      <c r="D491" s="239"/>
      <c r="E491" s="239"/>
      <c r="F491" s="239"/>
      <c r="G491" s="239"/>
      <c r="H491" s="239"/>
    </row>
    <row r="492" spans="1:8" ht="18" customHeight="1">
      <c r="A492" s="239"/>
      <c r="B492" s="239"/>
      <c r="C492" s="239"/>
      <c r="D492" s="239"/>
      <c r="E492" s="239"/>
      <c r="F492" s="239"/>
      <c r="G492" s="239"/>
      <c r="H492" s="239"/>
    </row>
    <row r="493" spans="1:8" ht="18" customHeight="1">
      <c r="A493" s="239"/>
      <c r="B493" s="239"/>
      <c r="C493" s="239"/>
      <c r="D493" s="239"/>
      <c r="E493" s="239"/>
      <c r="F493" s="239"/>
      <c r="G493" s="239"/>
      <c r="H493" s="239"/>
    </row>
    <row r="494" spans="1:8" ht="18" customHeight="1">
      <c r="A494" s="239"/>
      <c r="B494" s="239"/>
      <c r="C494" s="239"/>
      <c r="D494" s="239"/>
      <c r="E494" s="239"/>
      <c r="F494" s="239"/>
      <c r="G494" s="239"/>
      <c r="H494" s="239"/>
    </row>
    <row r="495" spans="1:8" ht="18" customHeight="1">
      <c r="A495" s="239"/>
      <c r="B495" s="239"/>
      <c r="C495" s="239"/>
      <c r="D495" s="239"/>
      <c r="E495" s="239"/>
      <c r="F495" s="239"/>
      <c r="G495" s="239"/>
      <c r="H495" s="239"/>
    </row>
    <row r="496" spans="1:8" ht="18" customHeight="1">
      <c r="A496" s="239"/>
      <c r="B496" s="239"/>
      <c r="C496" s="239"/>
      <c r="D496" s="239"/>
      <c r="E496" s="239"/>
      <c r="F496" s="239"/>
      <c r="G496" s="239"/>
      <c r="H496" s="239"/>
    </row>
    <row r="497" spans="1:8" ht="18" customHeight="1">
      <c r="A497" s="239"/>
      <c r="B497" s="239"/>
      <c r="C497" s="239"/>
      <c r="D497" s="239"/>
      <c r="E497" s="239"/>
      <c r="F497" s="239"/>
      <c r="G497" s="239"/>
      <c r="H497" s="239"/>
    </row>
    <row r="498" spans="1:8" ht="18" customHeight="1">
      <c r="A498" s="239"/>
      <c r="B498" s="239"/>
      <c r="C498" s="239"/>
      <c r="D498" s="239"/>
      <c r="E498" s="239"/>
      <c r="F498" s="239"/>
      <c r="G498" s="239"/>
      <c r="H498" s="239"/>
    </row>
    <row r="499" spans="1:8" ht="18" customHeight="1">
      <c r="A499" s="239"/>
      <c r="B499" s="239"/>
      <c r="C499" s="239"/>
      <c r="D499" s="239"/>
      <c r="E499" s="239"/>
      <c r="F499" s="239"/>
      <c r="G499" s="239"/>
      <c r="H499" s="239"/>
    </row>
    <row r="500" spans="1:8" ht="18" customHeight="1">
      <c r="A500" s="239"/>
      <c r="B500" s="239"/>
      <c r="C500" s="239"/>
      <c r="D500" s="239"/>
      <c r="E500" s="239"/>
      <c r="F500" s="239"/>
      <c r="G500" s="239"/>
      <c r="H500" s="239"/>
    </row>
    <row r="501" spans="1:8" ht="18" customHeight="1">
      <c r="A501" s="239"/>
      <c r="B501" s="239"/>
      <c r="C501" s="239"/>
      <c r="D501" s="239"/>
      <c r="E501" s="239"/>
      <c r="F501" s="239"/>
      <c r="G501" s="239"/>
      <c r="H501" s="239"/>
    </row>
    <row r="502" spans="1:8" ht="18" customHeight="1">
      <c r="A502" s="239"/>
      <c r="B502" s="239"/>
      <c r="C502" s="239"/>
      <c r="D502" s="239"/>
      <c r="E502" s="239"/>
      <c r="F502" s="239"/>
      <c r="G502" s="239"/>
      <c r="H502" s="239"/>
    </row>
    <row r="503" spans="1:8" ht="18" customHeight="1">
      <c r="A503" s="239"/>
      <c r="B503" s="239"/>
      <c r="C503" s="239"/>
      <c r="D503" s="239"/>
      <c r="E503" s="239"/>
      <c r="F503" s="239"/>
      <c r="G503" s="239"/>
      <c r="H503" s="239"/>
    </row>
    <row r="504" spans="1:8" ht="18" customHeight="1">
      <c r="A504" s="239"/>
      <c r="B504" s="239"/>
      <c r="C504" s="239"/>
      <c r="D504" s="239"/>
      <c r="E504" s="239"/>
      <c r="F504" s="239"/>
      <c r="G504" s="239"/>
      <c r="H504" s="239"/>
    </row>
    <row r="505" spans="1:8" ht="18" customHeight="1">
      <c r="A505" s="239"/>
      <c r="B505" s="239"/>
      <c r="C505" s="239"/>
      <c r="D505" s="239"/>
      <c r="E505" s="239"/>
      <c r="F505" s="239"/>
      <c r="G505" s="239"/>
      <c r="H505" s="239"/>
    </row>
    <row r="506" spans="1:8" ht="18" customHeight="1">
      <c r="A506" s="239"/>
      <c r="B506" s="239"/>
      <c r="C506" s="239"/>
      <c r="D506" s="239"/>
      <c r="E506" s="239"/>
      <c r="F506" s="239"/>
      <c r="G506" s="239"/>
      <c r="H506" s="239"/>
    </row>
    <row r="507" spans="1:8" ht="18" customHeight="1">
      <c r="A507" s="239"/>
      <c r="B507" s="239"/>
      <c r="C507" s="239"/>
      <c r="D507" s="239"/>
      <c r="E507" s="239"/>
      <c r="F507" s="239"/>
      <c r="G507" s="239"/>
      <c r="H507" s="239"/>
    </row>
    <row r="508" spans="1:8" ht="18" customHeight="1">
      <c r="A508" s="239"/>
      <c r="B508" s="239"/>
      <c r="C508" s="239"/>
      <c r="D508" s="239"/>
      <c r="E508" s="239"/>
      <c r="F508" s="239"/>
      <c r="G508" s="239"/>
      <c r="H508" s="239"/>
    </row>
    <row r="509" spans="1:8" ht="18" customHeight="1">
      <c r="A509" s="239"/>
      <c r="B509" s="239"/>
      <c r="C509" s="239"/>
      <c r="D509" s="239"/>
      <c r="E509" s="239"/>
      <c r="F509" s="239"/>
      <c r="G509" s="239"/>
      <c r="H509" s="239"/>
    </row>
    <row r="510" spans="1:8" ht="18" customHeight="1">
      <c r="A510" s="239"/>
      <c r="B510" s="239"/>
      <c r="C510" s="239"/>
      <c r="D510" s="239"/>
      <c r="E510" s="239"/>
      <c r="F510" s="239"/>
      <c r="G510" s="239"/>
      <c r="H510" s="239"/>
    </row>
    <row r="511" spans="1:8" ht="18" customHeight="1">
      <c r="A511" s="239"/>
      <c r="B511" s="239"/>
      <c r="C511" s="239"/>
      <c r="D511" s="239"/>
      <c r="E511" s="239"/>
      <c r="F511" s="239"/>
      <c r="G511" s="239"/>
      <c r="H511" s="239"/>
    </row>
    <row r="512" spans="1:8" ht="18" customHeight="1">
      <c r="A512" s="239"/>
      <c r="B512" s="239"/>
      <c r="C512" s="239"/>
      <c r="D512" s="239"/>
      <c r="E512" s="239"/>
      <c r="F512" s="239"/>
      <c r="G512" s="239"/>
      <c r="H512" s="239"/>
    </row>
    <row r="513" spans="1:8" ht="18" customHeight="1">
      <c r="A513" s="239"/>
      <c r="B513" s="239"/>
      <c r="C513" s="239"/>
      <c r="D513" s="239"/>
      <c r="E513" s="239"/>
      <c r="F513" s="239"/>
      <c r="G513" s="239"/>
      <c r="H513" s="239"/>
    </row>
    <row r="514" spans="1:8" ht="18" customHeight="1">
      <c r="A514" s="239"/>
      <c r="B514" s="239"/>
      <c r="C514" s="239"/>
      <c r="D514" s="239"/>
      <c r="E514" s="239"/>
      <c r="F514" s="239"/>
      <c r="G514" s="239"/>
      <c r="H514" s="239"/>
    </row>
    <row r="515" spans="1:8" ht="18" customHeight="1">
      <c r="A515" s="239"/>
      <c r="B515" s="239"/>
      <c r="C515" s="239"/>
      <c r="D515" s="239"/>
      <c r="E515" s="239"/>
      <c r="F515" s="239"/>
      <c r="G515" s="239"/>
      <c r="H515" s="239"/>
    </row>
    <row r="516" spans="1:8" ht="18" customHeight="1">
      <c r="A516" s="239"/>
      <c r="B516" s="239"/>
      <c r="C516" s="239"/>
      <c r="D516" s="239"/>
      <c r="E516" s="239"/>
      <c r="F516" s="239"/>
      <c r="G516" s="239"/>
      <c r="H516" s="239"/>
    </row>
    <row r="517" spans="1:8" ht="18" customHeight="1">
      <c r="A517" s="239"/>
      <c r="B517" s="239"/>
      <c r="C517" s="239"/>
      <c r="D517" s="239"/>
      <c r="E517" s="239"/>
      <c r="F517" s="239"/>
      <c r="G517" s="239"/>
      <c r="H517" s="239"/>
    </row>
    <row r="518" spans="1:8" ht="18" customHeight="1">
      <c r="A518" s="239"/>
      <c r="B518" s="239"/>
      <c r="C518" s="239"/>
      <c r="D518" s="239"/>
      <c r="E518" s="239"/>
      <c r="F518" s="239"/>
      <c r="G518" s="239"/>
      <c r="H518" s="239"/>
    </row>
    <row r="519" spans="1:8" ht="18" customHeight="1">
      <c r="A519" s="239"/>
      <c r="B519" s="239"/>
      <c r="C519" s="239"/>
      <c r="D519" s="239"/>
      <c r="E519" s="239"/>
      <c r="F519" s="239"/>
      <c r="G519" s="239"/>
      <c r="H519" s="239"/>
    </row>
    <row r="520" spans="1:8" ht="18" customHeight="1">
      <c r="A520" s="239"/>
      <c r="B520" s="239"/>
      <c r="C520" s="239"/>
      <c r="D520" s="239"/>
      <c r="E520" s="239"/>
      <c r="F520" s="239"/>
      <c r="G520" s="239"/>
      <c r="H520" s="239"/>
    </row>
    <row r="521" spans="1:8" ht="18" customHeight="1">
      <c r="A521" s="239"/>
      <c r="B521" s="239"/>
      <c r="C521" s="239"/>
      <c r="D521" s="239"/>
      <c r="E521" s="239"/>
      <c r="F521" s="239"/>
      <c r="G521" s="239"/>
      <c r="H521" s="239"/>
    </row>
    <row r="522" spans="1:8" ht="18" customHeight="1">
      <c r="A522" s="239"/>
      <c r="B522" s="239"/>
      <c r="C522" s="239"/>
      <c r="D522" s="239"/>
      <c r="E522" s="239"/>
      <c r="F522" s="239"/>
      <c r="G522" s="239"/>
      <c r="H522" s="239"/>
    </row>
    <row r="523" spans="1:8" ht="18" customHeight="1">
      <c r="A523" s="239"/>
      <c r="B523" s="239"/>
      <c r="C523" s="239"/>
      <c r="D523" s="239"/>
      <c r="E523" s="239"/>
      <c r="F523" s="239"/>
      <c r="G523" s="239"/>
      <c r="H523" s="239"/>
    </row>
    <row r="524" spans="1:8" ht="18" customHeight="1">
      <c r="A524" s="239"/>
      <c r="B524" s="239"/>
      <c r="C524" s="239"/>
      <c r="D524" s="239"/>
      <c r="E524" s="239"/>
      <c r="F524" s="239"/>
      <c r="G524" s="239"/>
      <c r="H524" s="239"/>
    </row>
    <row r="525" spans="1:8" ht="18" customHeight="1">
      <c r="A525" s="239"/>
      <c r="B525" s="239"/>
      <c r="C525" s="239"/>
      <c r="D525" s="239"/>
      <c r="E525" s="239"/>
      <c r="F525" s="239"/>
      <c r="G525" s="239"/>
      <c r="H525" s="239"/>
    </row>
    <row r="526" spans="1:8" ht="18" customHeight="1">
      <c r="A526" s="239"/>
      <c r="B526" s="239"/>
      <c r="C526" s="239"/>
      <c r="D526" s="239"/>
      <c r="E526" s="239"/>
      <c r="F526" s="239"/>
      <c r="G526" s="239"/>
      <c r="H526" s="239"/>
    </row>
    <row r="527" spans="1:8" ht="18" customHeight="1">
      <c r="A527" s="239"/>
      <c r="B527" s="239"/>
      <c r="C527" s="239"/>
      <c r="D527" s="239"/>
      <c r="E527" s="239"/>
      <c r="F527" s="239"/>
      <c r="G527" s="239"/>
      <c r="H527" s="239"/>
    </row>
    <row r="528" spans="1:8" ht="18" customHeight="1">
      <c r="A528" s="239"/>
      <c r="B528" s="239"/>
      <c r="C528" s="239"/>
      <c r="D528" s="239"/>
      <c r="E528" s="239"/>
      <c r="F528" s="239"/>
      <c r="G528" s="239"/>
      <c r="H528" s="239"/>
    </row>
    <row r="529" spans="1:8" ht="18" customHeight="1">
      <c r="A529" s="239"/>
      <c r="B529" s="239"/>
      <c r="C529" s="239"/>
      <c r="D529" s="239"/>
      <c r="E529" s="239"/>
      <c r="F529" s="239"/>
      <c r="G529" s="239"/>
      <c r="H529" s="239"/>
    </row>
    <row r="530" spans="1:8" ht="18" customHeight="1">
      <c r="A530" s="239"/>
      <c r="B530" s="239"/>
      <c r="C530" s="239"/>
      <c r="D530" s="239"/>
      <c r="E530" s="239"/>
      <c r="F530" s="239"/>
      <c r="G530" s="239"/>
      <c r="H530" s="239"/>
    </row>
    <row r="531" spans="1:8" ht="18" customHeight="1">
      <c r="A531" s="239"/>
      <c r="B531" s="239"/>
      <c r="C531" s="239"/>
      <c r="D531" s="239"/>
      <c r="E531" s="239"/>
      <c r="F531" s="239"/>
      <c r="G531" s="239"/>
      <c r="H531" s="239"/>
    </row>
    <row r="532" spans="1:8" ht="18" customHeight="1">
      <c r="A532" s="239"/>
      <c r="B532" s="239"/>
      <c r="C532" s="239"/>
      <c r="D532" s="239"/>
      <c r="E532" s="239"/>
      <c r="F532" s="239"/>
      <c r="G532" s="239"/>
      <c r="H532" s="239"/>
    </row>
    <row r="533" spans="1:8" ht="18" customHeight="1">
      <c r="A533" s="239"/>
      <c r="B533" s="239"/>
      <c r="C533" s="239"/>
      <c r="D533" s="239"/>
      <c r="E533" s="239"/>
      <c r="F533" s="239"/>
      <c r="G533" s="239"/>
      <c r="H533" s="239"/>
    </row>
    <row r="534" spans="1:8" ht="18" customHeight="1">
      <c r="A534" s="239"/>
      <c r="B534" s="239"/>
      <c r="C534" s="239"/>
      <c r="D534" s="239"/>
      <c r="E534" s="239"/>
      <c r="F534" s="239"/>
      <c r="G534" s="239"/>
      <c r="H534" s="239"/>
    </row>
    <row r="535" spans="1:8" ht="18" customHeight="1">
      <c r="A535" s="239"/>
      <c r="B535" s="239"/>
      <c r="C535" s="239"/>
      <c r="D535" s="239"/>
      <c r="E535" s="239"/>
      <c r="F535" s="239"/>
      <c r="G535" s="239"/>
      <c r="H535" s="239"/>
    </row>
    <row r="536" spans="1:8" ht="18" customHeight="1">
      <c r="A536" s="239"/>
      <c r="B536" s="239"/>
      <c r="C536" s="239"/>
      <c r="D536" s="239"/>
      <c r="E536" s="239"/>
      <c r="F536" s="239"/>
      <c r="G536" s="239"/>
      <c r="H536" s="239"/>
    </row>
    <row r="537" spans="1:8" ht="18" customHeight="1">
      <c r="A537" s="239"/>
      <c r="B537" s="239"/>
      <c r="C537" s="239"/>
      <c r="D537" s="239"/>
      <c r="E537" s="239"/>
      <c r="F537" s="239"/>
      <c r="G537" s="239"/>
      <c r="H537" s="239"/>
    </row>
    <row r="538" spans="1:8" ht="18" customHeight="1">
      <c r="A538" s="239"/>
      <c r="B538" s="239"/>
      <c r="C538" s="239"/>
      <c r="D538" s="239"/>
      <c r="E538" s="239"/>
      <c r="F538" s="239"/>
      <c r="G538" s="239"/>
      <c r="H538" s="239"/>
    </row>
    <row r="539" spans="1:8" ht="18" customHeight="1">
      <c r="A539" s="239"/>
      <c r="B539" s="239"/>
      <c r="C539" s="239"/>
      <c r="D539" s="239"/>
      <c r="E539" s="239"/>
      <c r="F539" s="239"/>
      <c r="G539" s="239"/>
      <c r="H539" s="239"/>
    </row>
    <row r="540" spans="1:8" ht="18" customHeight="1">
      <c r="A540" s="239"/>
      <c r="B540" s="239"/>
      <c r="C540" s="239"/>
      <c r="D540" s="239"/>
      <c r="E540" s="239"/>
      <c r="F540" s="239"/>
      <c r="G540" s="239"/>
      <c r="H540" s="239"/>
    </row>
    <row r="541" spans="1:8" ht="18" customHeight="1">
      <c r="A541" s="239"/>
      <c r="B541" s="239"/>
      <c r="C541" s="239"/>
      <c r="D541" s="239"/>
      <c r="E541" s="239"/>
      <c r="F541" s="239"/>
      <c r="G541" s="239"/>
      <c r="H541" s="239"/>
    </row>
    <row r="542" spans="1:8" ht="18" customHeight="1">
      <c r="A542" s="239"/>
      <c r="B542" s="239"/>
      <c r="C542" s="239"/>
      <c r="D542" s="239"/>
      <c r="E542" s="239"/>
      <c r="F542" s="239"/>
      <c r="G542" s="239"/>
      <c r="H542" s="239"/>
    </row>
    <row r="543" spans="1:8" ht="18" customHeight="1">
      <c r="A543" s="239"/>
      <c r="B543" s="239"/>
      <c r="C543" s="239"/>
      <c r="D543" s="239"/>
      <c r="E543" s="239"/>
      <c r="F543" s="239"/>
      <c r="G543" s="239"/>
      <c r="H543" s="239"/>
    </row>
    <row r="544" spans="1:8" ht="18" customHeight="1">
      <c r="A544" s="239"/>
      <c r="B544" s="239"/>
      <c r="C544" s="239"/>
      <c r="D544" s="239"/>
      <c r="E544" s="239"/>
      <c r="F544" s="239"/>
      <c r="G544" s="239"/>
      <c r="H544" s="239"/>
    </row>
    <row r="545" spans="1:8" ht="18" customHeight="1">
      <c r="A545" s="239"/>
      <c r="B545" s="239"/>
      <c r="C545" s="239"/>
      <c r="D545" s="239"/>
      <c r="E545" s="239"/>
      <c r="F545" s="239"/>
      <c r="G545" s="239"/>
      <c r="H545" s="239"/>
    </row>
    <row r="546" spans="1:8" ht="18" customHeight="1">
      <c r="A546" s="239"/>
      <c r="B546" s="239"/>
      <c r="C546" s="239"/>
      <c r="D546" s="239"/>
      <c r="E546" s="239"/>
      <c r="F546" s="239"/>
      <c r="G546" s="239"/>
      <c r="H546" s="239"/>
    </row>
    <row r="547" spans="1:8" ht="18" customHeight="1">
      <c r="A547" s="239"/>
      <c r="B547" s="239"/>
      <c r="C547" s="239"/>
      <c r="D547" s="239"/>
      <c r="E547" s="239"/>
      <c r="F547" s="239"/>
      <c r="G547" s="239"/>
      <c r="H547" s="239"/>
    </row>
    <row r="548" spans="1:8" ht="18" customHeight="1">
      <c r="A548" s="239"/>
      <c r="B548" s="239"/>
      <c r="C548" s="239"/>
      <c r="D548" s="239"/>
      <c r="E548" s="239"/>
      <c r="F548" s="239"/>
      <c r="G548" s="239"/>
      <c r="H548" s="239"/>
    </row>
    <row r="549" spans="1:8" ht="18" customHeight="1">
      <c r="A549" s="239"/>
      <c r="B549" s="239"/>
      <c r="C549" s="239"/>
      <c r="D549" s="239"/>
      <c r="E549" s="239"/>
      <c r="F549" s="239"/>
      <c r="G549" s="239"/>
      <c r="H549" s="239"/>
    </row>
    <row r="550" spans="1:8" ht="18" customHeight="1">
      <c r="A550" s="239"/>
      <c r="B550" s="239"/>
      <c r="C550" s="239"/>
      <c r="D550" s="239"/>
      <c r="E550" s="239"/>
      <c r="F550" s="239"/>
      <c r="G550" s="239"/>
      <c r="H550" s="239"/>
    </row>
    <row r="551" spans="1:8" ht="18" customHeight="1">
      <c r="A551" s="239"/>
      <c r="B551" s="239"/>
      <c r="C551" s="239"/>
      <c r="D551" s="239"/>
      <c r="E551" s="239"/>
      <c r="F551" s="239"/>
      <c r="G551" s="239"/>
      <c r="H551" s="239"/>
    </row>
    <row r="552" spans="1:8" ht="18" customHeight="1">
      <c r="A552" s="239"/>
      <c r="B552" s="239"/>
      <c r="C552" s="239"/>
      <c r="D552" s="239"/>
      <c r="E552" s="239"/>
      <c r="F552" s="239"/>
      <c r="G552" s="239"/>
      <c r="H552" s="239"/>
    </row>
    <row r="553" spans="1:8" ht="18" customHeight="1">
      <c r="A553" s="239"/>
      <c r="B553" s="239"/>
      <c r="C553" s="239"/>
      <c r="D553" s="239"/>
      <c r="E553" s="239"/>
      <c r="F553" s="239"/>
      <c r="G553" s="239"/>
      <c r="H553" s="239"/>
    </row>
    <row r="554" spans="1:8" ht="18" customHeight="1">
      <c r="A554" s="239"/>
      <c r="B554" s="239"/>
      <c r="C554" s="239"/>
      <c r="D554" s="239"/>
      <c r="E554" s="239"/>
      <c r="F554" s="239"/>
      <c r="G554" s="239"/>
      <c r="H554" s="239"/>
    </row>
    <row r="555" spans="1:8" ht="18" customHeight="1">
      <c r="A555" s="239"/>
      <c r="B555" s="239"/>
      <c r="C555" s="239"/>
      <c r="D555" s="239"/>
      <c r="E555" s="239"/>
      <c r="F555" s="239"/>
      <c r="G555" s="239"/>
      <c r="H555" s="239"/>
    </row>
    <row r="556" spans="1:8" ht="18" customHeight="1">
      <c r="A556" s="239"/>
      <c r="B556" s="239"/>
      <c r="C556" s="239"/>
      <c r="D556" s="239"/>
      <c r="E556" s="239"/>
      <c r="F556" s="239"/>
      <c r="G556" s="239"/>
      <c r="H556" s="239"/>
    </row>
    <row r="557" spans="1:8" ht="18" customHeight="1">
      <c r="A557" s="239"/>
      <c r="B557" s="239"/>
      <c r="C557" s="239"/>
      <c r="D557" s="239"/>
      <c r="E557" s="239"/>
      <c r="F557" s="239"/>
      <c r="G557" s="239"/>
      <c r="H557" s="239"/>
    </row>
    <row r="558" spans="1:8" ht="18" customHeight="1">
      <c r="A558" s="239"/>
      <c r="B558" s="239"/>
      <c r="C558" s="239"/>
      <c r="D558" s="239"/>
      <c r="E558" s="239"/>
      <c r="F558" s="239"/>
      <c r="G558" s="239"/>
      <c r="H558" s="239"/>
    </row>
    <row r="559" spans="1:8" ht="18" customHeight="1">
      <c r="A559" s="239"/>
      <c r="B559" s="239"/>
      <c r="C559" s="239"/>
      <c r="D559" s="239"/>
      <c r="E559" s="239"/>
      <c r="F559" s="239"/>
      <c r="G559" s="239"/>
      <c r="H559" s="239"/>
    </row>
    <row r="560" spans="1:8" ht="18" customHeight="1">
      <c r="A560" s="239"/>
      <c r="B560" s="239"/>
      <c r="C560" s="239"/>
      <c r="D560" s="239"/>
      <c r="E560" s="239"/>
      <c r="F560" s="239"/>
      <c r="G560" s="239"/>
      <c r="H560" s="239"/>
    </row>
    <row r="561" spans="1:8" ht="18" customHeight="1">
      <c r="A561" s="239"/>
      <c r="B561" s="239"/>
      <c r="C561" s="239"/>
      <c r="D561" s="239"/>
      <c r="E561" s="239"/>
      <c r="F561" s="239"/>
      <c r="G561" s="239"/>
      <c r="H561" s="239"/>
    </row>
    <row r="562" spans="1:8" ht="18" customHeight="1">
      <c r="A562" s="239"/>
      <c r="B562" s="239"/>
      <c r="C562" s="239"/>
      <c r="D562" s="239"/>
      <c r="E562" s="239"/>
      <c r="F562" s="239"/>
      <c r="G562" s="239"/>
      <c r="H562" s="239"/>
    </row>
    <row r="563" spans="1:8" ht="18" customHeight="1">
      <c r="A563" s="239"/>
      <c r="B563" s="239"/>
      <c r="C563" s="239"/>
      <c r="D563" s="239"/>
      <c r="E563" s="239"/>
      <c r="F563" s="239"/>
      <c r="G563" s="239"/>
      <c r="H563" s="239"/>
    </row>
    <row r="564" spans="1:8" ht="18" customHeight="1">
      <c r="A564" s="239"/>
      <c r="B564" s="239"/>
      <c r="C564" s="239"/>
      <c r="D564" s="239"/>
      <c r="E564" s="239"/>
      <c r="F564" s="239"/>
      <c r="G564" s="239"/>
      <c r="H564" s="239"/>
    </row>
    <row r="565" spans="1:8" ht="18" customHeight="1">
      <c r="A565" s="239"/>
      <c r="B565" s="239"/>
      <c r="C565" s="239"/>
      <c r="D565" s="239"/>
      <c r="E565" s="239"/>
      <c r="F565" s="239"/>
      <c r="G565" s="239"/>
      <c r="H565" s="239"/>
    </row>
    <row r="566" spans="1:8" ht="18" customHeight="1">
      <c r="A566" s="239"/>
      <c r="B566" s="239"/>
      <c r="C566" s="239"/>
      <c r="D566" s="239"/>
      <c r="E566" s="239"/>
      <c r="F566" s="239"/>
      <c r="G566" s="239"/>
      <c r="H566" s="239"/>
    </row>
    <row r="567" spans="1:8" ht="18" customHeight="1">
      <c r="A567" s="239"/>
      <c r="B567" s="239"/>
      <c r="C567" s="239"/>
      <c r="D567" s="239"/>
      <c r="E567" s="239"/>
      <c r="F567" s="239"/>
      <c r="G567" s="239"/>
      <c r="H567" s="239"/>
    </row>
    <row r="568" spans="1:8" ht="18" customHeight="1">
      <c r="A568" s="239"/>
      <c r="B568" s="239"/>
      <c r="C568" s="239"/>
      <c r="D568" s="239"/>
      <c r="E568" s="239"/>
      <c r="F568" s="239"/>
      <c r="G568" s="239"/>
      <c r="H568" s="239"/>
    </row>
    <row r="569" spans="1:8" ht="18" customHeight="1">
      <c r="A569" s="239"/>
      <c r="B569" s="239"/>
      <c r="C569" s="239"/>
      <c r="D569" s="239"/>
      <c r="E569" s="239"/>
      <c r="F569" s="239"/>
      <c r="G569" s="239"/>
      <c r="H569" s="239"/>
    </row>
    <row r="570" spans="1:8" ht="18" customHeight="1">
      <c r="A570" s="239"/>
      <c r="B570" s="239"/>
      <c r="C570" s="239"/>
      <c r="D570" s="239"/>
      <c r="E570" s="239"/>
      <c r="F570" s="239"/>
      <c r="G570" s="239"/>
      <c r="H570" s="239"/>
    </row>
    <row r="571" spans="1:8" ht="18" customHeight="1">
      <c r="A571" s="239"/>
      <c r="B571" s="239"/>
      <c r="C571" s="239"/>
      <c r="D571" s="239"/>
      <c r="E571" s="239"/>
      <c r="F571" s="239"/>
      <c r="G571" s="239"/>
      <c r="H571" s="239"/>
    </row>
    <row r="572" spans="1:8" ht="18" customHeight="1">
      <c r="A572" s="239"/>
      <c r="B572" s="239"/>
      <c r="C572" s="239"/>
      <c r="D572" s="239"/>
      <c r="E572" s="239"/>
      <c r="F572" s="239"/>
      <c r="G572" s="239"/>
      <c r="H572" s="239"/>
    </row>
    <row r="573" spans="1:8" ht="18" customHeight="1">
      <c r="A573" s="239"/>
      <c r="B573" s="239"/>
      <c r="C573" s="239"/>
      <c r="D573" s="239"/>
      <c r="E573" s="239"/>
      <c r="F573" s="239"/>
      <c r="G573" s="239"/>
      <c r="H573" s="239"/>
    </row>
    <row r="574" spans="1:8" ht="18" customHeight="1">
      <c r="A574" s="239"/>
      <c r="B574" s="239"/>
      <c r="C574" s="239"/>
      <c r="D574" s="239"/>
      <c r="E574" s="239"/>
      <c r="F574" s="239"/>
      <c r="G574" s="239"/>
      <c r="H574" s="239"/>
    </row>
    <row r="575" spans="1:8" ht="18" customHeight="1">
      <c r="A575" s="239"/>
      <c r="B575" s="239"/>
      <c r="C575" s="239"/>
      <c r="D575" s="239"/>
      <c r="E575" s="239"/>
      <c r="F575" s="239"/>
      <c r="G575" s="239"/>
      <c r="H575" s="239"/>
    </row>
    <row r="576" spans="1:8" ht="18" customHeight="1">
      <c r="A576" s="239"/>
      <c r="B576" s="239"/>
      <c r="C576" s="239"/>
      <c r="D576" s="239"/>
      <c r="E576" s="239"/>
      <c r="F576" s="239"/>
      <c r="G576" s="239"/>
      <c r="H576" s="239"/>
    </row>
    <row r="577" spans="1:8" ht="18" customHeight="1">
      <c r="A577" s="239"/>
      <c r="B577" s="239"/>
      <c r="C577" s="239"/>
      <c r="D577" s="239"/>
      <c r="E577" s="239"/>
      <c r="F577" s="239"/>
      <c r="G577" s="239"/>
      <c r="H577" s="239"/>
    </row>
    <row r="578" spans="1:8" ht="18" customHeight="1">
      <c r="A578" s="239"/>
      <c r="B578" s="239"/>
      <c r="C578" s="239"/>
      <c r="D578" s="239"/>
      <c r="E578" s="239"/>
      <c r="F578" s="239"/>
      <c r="G578" s="239"/>
      <c r="H578" s="239"/>
    </row>
    <row r="579" spans="1:8" ht="18" customHeight="1">
      <c r="A579" s="239"/>
      <c r="B579" s="239"/>
      <c r="C579" s="239"/>
      <c r="D579" s="239"/>
      <c r="E579" s="239"/>
      <c r="F579" s="239"/>
      <c r="G579" s="239"/>
      <c r="H579" s="239"/>
    </row>
    <row r="580" spans="1:8" ht="18" customHeight="1">
      <c r="A580" s="239"/>
      <c r="B580" s="239"/>
      <c r="C580" s="239"/>
      <c r="D580" s="239"/>
      <c r="E580" s="239"/>
      <c r="F580" s="239"/>
      <c r="G580" s="239"/>
      <c r="H580" s="239"/>
    </row>
    <row r="581" spans="1:8" ht="18" customHeight="1">
      <c r="A581" s="239"/>
      <c r="B581" s="239"/>
      <c r="C581" s="239"/>
      <c r="D581" s="239"/>
      <c r="E581" s="239"/>
      <c r="F581" s="239"/>
      <c r="G581" s="239"/>
      <c r="H581" s="239"/>
    </row>
    <row r="582" spans="1:8" ht="18" customHeight="1">
      <c r="A582" s="239"/>
      <c r="B582" s="239"/>
      <c r="C582" s="239"/>
      <c r="D582" s="239"/>
      <c r="E582" s="239"/>
      <c r="F582" s="239"/>
      <c r="G582" s="239"/>
      <c r="H582" s="239"/>
    </row>
    <row r="583" spans="1:8" ht="18" customHeight="1">
      <c r="A583" s="239"/>
      <c r="B583" s="239"/>
      <c r="C583" s="239"/>
      <c r="D583" s="239"/>
      <c r="E583" s="239"/>
      <c r="F583" s="239"/>
      <c r="G583" s="239"/>
      <c r="H583" s="239"/>
    </row>
    <row r="584" spans="1:8" ht="18" customHeight="1">
      <c r="A584" s="239"/>
      <c r="B584" s="239"/>
      <c r="C584" s="239"/>
      <c r="D584" s="239"/>
      <c r="E584" s="239"/>
      <c r="F584" s="239"/>
      <c r="G584" s="239"/>
      <c r="H584" s="239"/>
    </row>
    <row r="585" spans="1:8" ht="18" customHeight="1">
      <c r="A585" s="239"/>
      <c r="B585" s="239"/>
      <c r="C585" s="239"/>
      <c r="D585" s="239"/>
      <c r="E585" s="239"/>
      <c r="F585" s="239"/>
      <c r="G585" s="239"/>
      <c r="H585" s="239"/>
    </row>
    <row r="586" spans="1:8" ht="18" customHeight="1">
      <c r="A586" s="239"/>
      <c r="B586" s="239"/>
      <c r="C586" s="239"/>
      <c r="D586" s="239"/>
      <c r="E586" s="239"/>
      <c r="F586" s="239"/>
      <c r="G586" s="239"/>
      <c r="H586" s="239"/>
    </row>
    <row r="587" spans="1:8" ht="18" customHeight="1">
      <c r="A587" s="239"/>
      <c r="B587" s="239"/>
      <c r="C587" s="239"/>
      <c r="D587" s="239"/>
      <c r="E587" s="239"/>
      <c r="F587" s="239"/>
      <c r="G587" s="239"/>
      <c r="H587" s="239"/>
    </row>
    <row r="588" spans="1:8" ht="18" customHeight="1">
      <c r="A588" s="239"/>
      <c r="B588" s="239"/>
      <c r="C588" s="239"/>
      <c r="D588" s="239"/>
      <c r="E588" s="239"/>
      <c r="F588" s="239"/>
      <c r="G588" s="239"/>
      <c r="H588" s="239"/>
    </row>
    <row r="589" spans="1:8" ht="18" customHeight="1">
      <c r="A589" s="239"/>
      <c r="B589" s="239"/>
      <c r="C589" s="239"/>
      <c r="D589" s="239"/>
      <c r="E589" s="239"/>
      <c r="F589" s="239"/>
      <c r="G589" s="239"/>
      <c r="H589" s="239"/>
    </row>
    <row r="590" spans="1:8" ht="18" customHeight="1">
      <c r="A590" s="239"/>
      <c r="B590" s="239"/>
      <c r="C590" s="239"/>
      <c r="D590" s="239"/>
      <c r="E590" s="239"/>
      <c r="F590" s="239"/>
      <c r="G590" s="239"/>
      <c r="H590" s="239"/>
    </row>
    <row r="591" spans="1:8" ht="18" customHeight="1">
      <c r="A591" s="239"/>
      <c r="B591" s="239"/>
      <c r="C591" s="239"/>
      <c r="D591" s="239"/>
      <c r="E591" s="239"/>
      <c r="F591" s="239"/>
      <c r="G591" s="239"/>
      <c r="H591" s="239"/>
    </row>
    <row r="592" spans="1:8" ht="18" customHeight="1">
      <c r="A592" s="239"/>
      <c r="B592" s="239"/>
      <c r="C592" s="239"/>
      <c r="D592" s="239"/>
      <c r="E592" s="239"/>
      <c r="F592" s="239"/>
      <c r="G592" s="239"/>
      <c r="H592" s="239"/>
    </row>
    <row r="593" spans="1:8" ht="18" customHeight="1">
      <c r="A593" s="239"/>
      <c r="B593" s="239"/>
      <c r="C593" s="239"/>
      <c r="D593" s="239"/>
      <c r="E593" s="239"/>
      <c r="F593" s="239"/>
      <c r="G593" s="239"/>
      <c r="H593" s="239"/>
    </row>
    <row r="594" spans="1:8" ht="18" customHeight="1">
      <c r="A594" s="239"/>
      <c r="B594" s="239"/>
      <c r="C594" s="239"/>
      <c r="D594" s="239"/>
      <c r="E594" s="239"/>
      <c r="F594" s="239"/>
      <c r="G594" s="239"/>
      <c r="H594" s="239"/>
    </row>
    <row r="595" spans="1:8" ht="18" customHeight="1">
      <c r="A595" s="239"/>
      <c r="B595" s="239"/>
      <c r="C595" s="239"/>
      <c r="D595" s="239"/>
      <c r="E595" s="239"/>
      <c r="F595" s="239"/>
      <c r="G595" s="239"/>
      <c r="H595" s="239"/>
    </row>
    <row r="596" spans="1:8" ht="18" customHeight="1">
      <c r="A596" s="239"/>
      <c r="B596" s="239"/>
      <c r="C596" s="239"/>
      <c r="D596" s="239"/>
      <c r="E596" s="239"/>
      <c r="F596" s="239"/>
      <c r="G596" s="239"/>
      <c r="H596" s="239"/>
    </row>
    <row r="597" spans="1:8" ht="18" customHeight="1">
      <c r="A597" s="239"/>
      <c r="B597" s="239"/>
      <c r="C597" s="239"/>
      <c r="D597" s="239"/>
      <c r="E597" s="239"/>
      <c r="F597" s="239"/>
      <c r="G597" s="239"/>
      <c r="H597" s="239"/>
    </row>
    <row r="598" spans="1:8" ht="18" customHeight="1">
      <c r="A598" s="239"/>
      <c r="B598" s="239"/>
      <c r="C598" s="239"/>
      <c r="D598" s="239"/>
      <c r="E598" s="239"/>
      <c r="F598" s="239"/>
      <c r="G598" s="239"/>
      <c r="H598" s="239"/>
    </row>
    <row r="599" spans="1:8" ht="18" customHeight="1">
      <c r="A599" s="239"/>
      <c r="B599" s="239"/>
      <c r="C599" s="239"/>
      <c r="D599" s="239"/>
      <c r="E599" s="239"/>
      <c r="F599" s="239"/>
      <c r="G599" s="239"/>
      <c r="H599" s="239"/>
    </row>
    <row r="600" spans="1:8" ht="18" customHeight="1">
      <c r="A600" s="239"/>
      <c r="B600" s="239"/>
      <c r="C600" s="239"/>
      <c r="D600" s="239"/>
      <c r="E600" s="239"/>
      <c r="F600" s="239"/>
      <c r="G600" s="239"/>
      <c r="H600" s="239"/>
    </row>
    <row r="601" spans="1:8" ht="18" customHeight="1">
      <c r="A601" s="239"/>
      <c r="B601" s="239"/>
      <c r="C601" s="239"/>
      <c r="D601" s="239"/>
      <c r="E601" s="239"/>
      <c r="F601" s="239"/>
      <c r="G601" s="239"/>
      <c r="H601" s="239"/>
    </row>
    <row r="602" spans="1:8" ht="18" customHeight="1">
      <c r="A602" s="239"/>
      <c r="B602" s="239"/>
      <c r="C602" s="239"/>
      <c r="D602" s="239"/>
      <c r="E602" s="239"/>
      <c r="F602" s="239"/>
      <c r="G602" s="239"/>
      <c r="H602" s="239"/>
    </row>
    <row r="603" spans="1:8" ht="18" customHeight="1">
      <c r="A603" s="239"/>
      <c r="B603" s="239"/>
      <c r="C603" s="239"/>
      <c r="D603" s="239"/>
      <c r="E603" s="239"/>
      <c r="F603" s="239"/>
      <c r="G603" s="239"/>
      <c r="H603" s="239"/>
    </row>
    <row r="604" spans="1:8" ht="18" customHeight="1">
      <c r="A604" s="239"/>
      <c r="B604" s="239"/>
      <c r="C604" s="239"/>
      <c r="D604" s="239"/>
      <c r="E604" s="239"/>
      <c r="F604" s="239"/>
      <c r="G604" s="239"/>
      <c r="H604" s="239"/>
    </row>
    <row r="605" spans="1:8" ht="18" customHeight="1">
      <c r="A605" s="239"/>
      <c r="B605" s="239"/>
      <c r="C605" s="239"/>
      <c r="D605" s="239"/>
      <c r="E605" s="239"/>
      <c r="F605" s="239"/>
      <c r="G605" s="239"/>
      <c r="H605" s="239"/>
    </row>
    <row r="606" spans="1:8" ht="18" customHeight="1">
      <c r="A606" s="239"/>
      <c r="B606" s="239"/>
      <c r="C606" s="239"/>
      <c r="D606" s="239"/>
      <c r="E606" s="239"/>
      <c r="F606" s="239"/>
      <c r="G606" s="239"/>
      <c r="H606" s="239"/>
    </row>
    <row r="607" spans="1:8" ht="18" customHeight="1">
      <c r="A607" s="239"/>
      <c r="B607" s="239"/>
      <c r="C607" s="239"/>
      <c r="D607" s="239"/>
      <c r="E607" s="239"/>
      <c r="F607" s="239"/>
      <c r="G607" s="239"/>
      <c r="H607" s="239"/>
    </row>
    <row r="608" spans="1:8" ht="18" customHeight="1">
      <c r="A608" s="239"/>
      <c r="B608" s="239"/>
      <c r="C608" s="239"/>
      <c r="D608" s="239"/>
      <c r="E608" s="239"/>
      <c r="F608" s="239"/>
      <c r="G608" s="239"/>
      <c r="H608" s="239"/>
    </row>
    <row r="609" spans="1:8" ht="18" customHeight="1">
      <c r="A609" s="239"/>
      <c r="B609" s="239"/>
      <c r="C609" s="239"/>
      <c r="D609" s="239"/>
      <c r="E609" s="239"/>
      <c r="F609" s="239"/>
      <c r="G609" s="239"/>
      <c r="H609" s="239"/>
    </row>
    <row r="610" spans="1:8" ht="18" customHeight="1">
      <c r="A610" s="239"/>
      <c r="B610" s="239"/>
      <c r="C610" s="239"/>
      <c r="D610" s="239"/>
      <c r="E610" s="239"/>
      <c r="F610" s="239"/>
      <c r="G610" s="239"/>
      <c r="H610" s="239"/>
    </row>
    <row r="611" spans="1:8" ht="18" customHeight="1">
      <c r="A611" s="239"/>
      <c r="B611" s="239"/>
      <c r="C611" s="239"/>
      <c r="D611" s="239"/>
      <c r="E611" s="239"/>
      <c r="F611" s="239"/>
      <c r="G611" s="239"/>
      <c r="H611" s="239"/>
    </row>
    <row r="612" spans="1:8" ht="18" customHeight="1">
      <c r="A612" s="239"/>
      <c r="B612" s="239"/>
      <c r="C612" s="239"/>
      <c r="D612" s="239"/>
      <c r="E612" s="239"/>
      <c r="F612" s="239"/>
      <c r="G612" s="239"/>
      <c r="H612" s="239"/>
    </row>
    <row r="613" spans="1:8" ht="18" customHeight="1">
      <c r="A613" s="239"/>
      <c r="B613" s="239"/>
      <c r="C613" s="239"/>
      <c r="D613" s="239"/>
      <c r="E613" s="239"/>
      <c r="F613" s="239"/>
      <c r="G613" s="239"/>
      <c r="H613" s="239"/>
    </row>
    <row r="614" spans="1:8" ht="18" customHeight="1">
      <c r="A614" s="239"/>
      <c r="B614" s="239"/>
      <c r="C614" s="239"/>
      <c r="D614" s="239"/>
      <c r="E614" s="239"/>
      <c r="F614" s="239"/>
      <c r="G614" s="239"/>
      <c r="H614" s="239"/>
    </row>
    <row r="615" spans="1:8" ht="18" customHeight="1">
      <c r="A615" s="239"/>
      <c r="B615" s="239"/>
      <c r="C615" s="239"/>
      <c r="D615" s="239"/>
      <c r="E615" s="239"/>
      <c r="F615" s="239"/>
      <c r="G615" s="239"/>
      <c r="H615" s="239"/>
    </row>
    <row r="616" spans="1:8" ht="18" customHeight="1">
      <c r="A616" s="239"/>
      <c r="B616" s="239"/>
      <c r="C616" s="239"/>
      <c r="D616" s="239"/>
      <c r="E616" s="239"/>
      <c r="F616" s="239"/>
      <c r="G616" s="239"/>
      <c r="H616" s="239"/>
    </row>
    <row r="617" spans="1:8" ht="18" customHeight="1">
      <c r="A617" s="239"/>
      <c r="B617" s="239"/>
      <c r="C617" s="239"/>
      <c r="D617" s="239"/>
      <c r="E617" s="239"/>
      <c r="F617" s="239"/>
      <c r="G617" s="239"/>
      <c r="H617" s="239"/>
    </row>
    <row r="618" spans="1:8" ht="18" customHeight="1">
      <c r="A618" s="239"/>
      <c r="B618" s="239"/>
      <c r="C618" s="239"/>
      <c r="D618" s="239"/>
      <c r="E618" s="239"/>
      <c r="F618" s="239"/>
      <c r="G618" s="239"/>
      <c r="H618" s="239"/>
    </row>
    <row r="619" spans="1:8" ht="18" customHeight="1">
      <c r="A619" s="239"/>
      <c r="B619" s="239"/>
      <c r="C619" s="239"/>
      <c r="D619" s="239"/>
      <c r="E619" s="239"/>
      <c r="F619" s="239"/>
      <c r="G619" s="239"/>
      <c r="H619" s="239"/>
    </row>
    <row r="620" spans="1:8" ht="18" customHeight="1">
      <c r="A620" s="239"/>
      <c r="B620" s="239"/>
      <c r="C620" s="239"/>
      <c r="D620" s="239"/>
      <c r="E620" s="239"/>
      <c r="F620" s="239"/>
      <c r="G620" s="239"/>
      <c r="H620" s="239"/>
    </row>
    <row r="621" spans="1:8" ht="18" customHeight="1">
      <c r="A621" s="239"/>
      <c r="B621" s="239"/>
      <c r="C621" s="239"/>
      <c r="D621" s="239"/>
      <c r="E621" s="239"/>
      <c r="F621" s="239"/>
      <c r="G621" s="239"/>
      <c r="H621" s="239"/>
    </row>
    <row r="622" spans="1:8" ht="18" customHeight="1">
      <c r="A622" s="239"/>
      <c r="B622" s="239"/>
      <c r="C622" s="239"/>
      <c r="D622" s="239"/>
      <c r="E622" s="239"/>
      <c r="F622" s="239"/>
      <c r="G622" s="239"/>
      <c r="H622" s="239"/>
    </row>
    <row r="623" spans="1:8" ht="18" customHeight="1">
      <c r="A623" s="239"/>
      <c r="B623" s="239"/>
      <c r="C623" s="239"/>
      <c r="D623" s="239"/>
      <c r="E623" s="239"/>
      <c r="F623" s="239"/>
      <c r="G623" s="239"/>
      <c r="H623" s="239"/>
    </row>
    <row r="624" spans="1:8" ht="18" customHeight="1">
      <c r="A624" s="239"/>
      <c r="B624" s="239"/>
      <c r="C624" s="239"/>
      <c r="D624" s="239"/>
      <c r="E624" s="239"/>
      <c r="F624" s="239"/>
      <c r="G624" s="239"/>
      <c r="H624" s="239"/>
    </row>
    <row r="625" spans="1:8" ht="18" customHeight="1">
      <c r="A625" s="239"/>
      <c r="B625" s="239"/>
      <c r="C625" s="239"/>
      <c r="D625" s="239"/>
      <c r="E625" s="239"/>
      <c r="F625" s="239"/>
      <c r="G625" s="239"/>
      <c r="H625" s="239"/>
    </row>
    <row r="626" spans="1:8" ht="18" customHeight="1">
      <c r="A626" s="239"/>
      <c r="B626" s="239"/>
      <c r="C626" s="239"/>
      <c r="D626" s="239"/>
      <c r="E626" s="239"/>
      <c r="F626" s="239"/>
      <c r="G626" s="239"/>
      <c r="H626" s="239"/>
    </row>
    <row r="627" spans="1:8" ht="18" customHeight="1">
      <c r="A627" s="239"/>
      <c r="B627" s="239"/>
      <c r="C627" s="239"/>
      <c r="D627" s="239"/>
      <c r="E627" s="239"/>
      <c r="F627" s="239"/>
      <c r="G627" s="239"/>
      <c r="H627" s="239"/>
    </row>
    <row r="628" spans="1:8" ht="18" customHeight="1">
      <c r="A628" s="239"/>
      <c r="B628" s="239"/>
      <c r="C628" s="239"/>
      <c r="D628" s="239"/>
      <c r="E628" s="239"/>
      <c r="F628" s="239"/>
      <c r="G628" s="239"/>
      <c r="H628" s="239"/>
    </row>
    <row r="629" spans="1:8" ht="18" customHeight="1">
      <c r="A629" s="239"/>
      <c r="B629" s="239"/>
      <c r="C629" s="239"/>
      <c r="D629" s="239"/>
      <c r="E629" s="239"/>
      <c r="F629" s="239"/>
      <c r="G629" s="239"/>
      <c r="H629" s="239"/>
    </row>
    <row r="630" spans="1:8" ht="18" customHeight="1">
      <c r="A630" s="239"/>
      <c r="B630" s="239"/>
      <c r="C630" s="239"/>
      <c r="D630" s="239"/>
      <c r="E630" s="239"/>
      <c r="F630" s="239"/>
      <c r="G630" s="239"/>
      <c r="H630" s="239"/>
    </row>
    <row r="631" spans="1:8" ht="18" customHeight="1">
      <c r="A631" s="239"/>
      <c r="B631" s="239"/>
      <c r="C631" s="239"/>
      <c r="D631" s="239"/>
      <c r="E631" s="239"/>
      <c r="F631" s="239"/>
      <c r="G631" s="239"/>
      <c r="H631" s="239"/>
    </row>
    <row r="632" spans="1:8" ht="18" customHeight="1">
      <c r="A632" s="239"/>
      <c r="B632" s="239"/>
      <c r="C632" s="239"/>
      <c r="D632" s="239"/>
      <c r="E632" s="239"/>
      <c r="F632" s="239"/>
      <c r="G632" s="239"/>
      <c r="H632" s="239"/>
    </row>
    <row r="633" spans="1:8" ht="18" customHeight="1">
      <c r="A633" s="239"/>
      <c r="B633" s="239"/>
      <c r="C633" s="239"/>
      <c r="D633" s="239"/>
      <c r="E633" s="239"/>
      <c r="F633" s="239"/>
      <c r="G633" s="239"/>
      <c r="H633" s="239"/>
    </row>
    <row r="634" spans="1:8" ht="18" customHeight="1">
      <c r="A634" s="239"/>
      <c r="B634" s="239"/>
      <c r="C634" s="239"/>
      <c r="D634" s="239"/>
      <c r="E634" s="239"/>
      <c r="F634" s="239"/>
      <c r="G634" s="239"/>
      <c r="H634" s="239"/>
    </row>
    <row r="635" spans="1:8" ht="18" customHeight="1">
      <c r="A635" s="239"/>
      <c r="B635" s="239"/>
      <c r="C635" s="239"/>
      <c r="D635" s="239"/>
      <c r="E635" s="239"/>
      <c r="F635" s="239"/>
      <c r="G635" s="239"/>
      <c r="H635" s="239"/>
    </row>
    <row r="636" spans="1:8" ht="18" customHeight="1">
      <c r="A636" s="239"/>
      <c r="B636" s="239"/>
      <c r="C636" s="239"/>
      <c r="D636" s="239"/>
      <c r="E636" s="239"/>
      <c r="F636" s="239"/>
      <c r="G636" s="239"/>
      <c r="H636" s="239"/>
    </row>
    <row r="637" spans="1:8" ht="18" customHeight="1">
      <c r="A637" s="239"/>
      <c r="B637" s="239"/>
      <c r="C637" s="239"/>
      <c r="D637" s="239"/>
      <c r="E637" s="239"/>
      <c r="F637" s="239"/>
      <c r="G637" s="239"/>
      <c r="H637" s="239"/>
    </row>
    <row r="638" spans="1:8" ht="18" customHeight="1">
      <c r="A638" s="239"/>
      <c r="B638" s="239"/>
      <c r="C638" s="239"/>
      <c r="D638" s="239"/>
      <c r="E638" s="239"/>
      <c r="F638" s="239"/>
      <c r="G638" s="239"/>
      <c r="H638" s="239"/>
    </row>
    <row r="639" spans="1:8" ht="18" customHeight="1">
      <c r="A639" s="239"/>
      <c r="B639" s="239"/>
      <c r="C639" s="239"/>
      <c r="D639" s="239"/>
      <c r="E639" s="239"/>
      <c r="F639" s="239"/>
      <c r="G639" s="239"/>
      <c r="H639" s="239"/>
    </row>
    <row r="640" spans="1:8" ht="18" customHeight="1">
      <c r="A640" s="239"/>
      <c r="B640" s="239"/>
      <c r="C640" s="239"/>
      <c r="D640" s="239"/>
      <c r="E640" s="239"/>
      <c r="F640" s="239"/>
      <c r="G640" s="239"/>
      <c r="H640" s="239"/>
    </row>
    <row r="641" spans="1:8" ht="18" customHeight="1">
      <c r="A641" s="239"/>
      <c r="B641" s="239"/>
      <c r="C641" s="239"/>
      <c r="D641" s="239"/>
      <c r="E641" s="239"/>
      <c r="F641" s="239"/>
      <c r="G641" s="239"/>
      <c r="H641" s="239"/>
    </row>
    <row r="642" spans="1:8" ht="18" customHeight="1">
      <c r="A642" s="239"/>
      <c r="B642" s="239"/>
      <c r="C642" s="239"/>
      <c r="D642" s="239"/>
      <c r="E642" s="239"/>
      <c r="F642" s="239"/>
      <c r="G642" s="239"/>
      <c r="H642" s="239"/>
    </row>
    <row r="643" spans="1:8" ht="18" customHeight="1">
      <c r="A643" s="239"/>
      <c r="B643" s="239"/>
      <c r="C643" s="239"/>
      <c r="D643" s="239"/>
      <c r="E643" s="239"/>
      <c r="F643" s="239"/>
      <c r="G643" s="239"/>
      <c r="H643" s="239"/>
    </row>
    <row r="644" spans="1:8" ht="18" customHeight="1">
      <c r="A644" s="239"/>
      <c r="B644" s="239"/>
      <c r="C644" s="239"/>
      <c r="D644" s="239"/>
      <c r="E644" s="239"/>
      <c r="F644" s="239"/>
      <c r="G644" s="239"/>
      <c r="H644" s="239"/>
    </row>
    <row r="645" spans="1:8" ht="18" customHeight="1">
      <c r="A645" s="239"/>
      <c r="B645" s="239"/>
      <c r="C645" s="239"/>
      <c r="D645" s="239"/>
      <c r="E645" s="239"/>
      <c r="F645" s="239"/>
      <c r="G645" s="239"/>
      <c r="H645" s="239"/>
    </row>
    <row r="646" spans="1:8" ht="18" customHeight="1">
      <c r="A646" s="239"/>
      <c r="B646" s="239"/>
      <c r="C646" s="239"/>
      <c r="D646" s="239"/>
      <c r="E646" s="239"/>
      <c r="F646" s="239"/>
      <c r="G646" s="239"/>
      <c r="H646" s="239"/>
    </row>
    <row r="647" spans="1:8" ht="18" customHeight="1">
      <c r="A647" s="239"/>
      <c r="B647" s="239"/>
      <c r="C647" s="239"/>
      <c r="D647" s="239"/>
      <c r="E647" s="239"/>
      <c r="F647" s="239"/>
      <c r="G647" s="239"/>
      <c r="H647" s="239"/>
    </row>
    <row r="648" spans="1:8" ht="18" customHeight="1">
      <c r="A648" s="239"/>
      <c r="B648" s="239"/>
      <c r="C648" s="239"/>
      <c r="D648" s="239"/>
      <c r="E648" s="239"/>
      <c r="F648" s="239"/>
      <c r="G648" s="239"/>
      <c r="H648" s="239"/>
    </row>
    <row r="649" spans="1:8" ht="18" customHeight="1">
      <c r="A649" s="239"/>
      <c r="B649" s="239"/>
      <c r="C649" s="239"/>
      <c r="D649" s="239"/>
      <c r="E649" s="239"/>
      <c r="F649" s="239"/>
      <c r="G649" s="239"/>
      <c r="H649" s="239"/>
    </row>
    <row r="650" spans="1:8" ht="18" customHeight="1">
      <c r="A650" s="239"/>
      <c r="B650" s="239"/>
      <c r="C650" s="239"/>
      <c r="D650" s="239"/>
      <c r="E650" s="239"/>
      <c r="F650" s="239"/>
      <c r="G650" s="239"/>
      <c r="H650" s="239"/>
    </row>
    <row r="651" spans="1:8" ht="18" customHeight="1">
      <c r="A651" s="239"/>
      <c r="B651" s="239"/>
      <c r="C651" s="239"/>
      <c r="D651" s="239"/>
      <c r="E651" s="239"/>
      <c r="F651" s="239"/>
      <c r="G651" s="239"/>
      <c r="H651" s="239"/>
    </row>
    <row r="652" spans="1:8" ht="18" customHeight="1">
      <c r="A652" s="239"/>
      <c r="B652" s="239"/>
      <c r="C652" s="239"/>
      <c r="D652" s="239"/>
      <c r="E652" s="239"/>
      <c r="F652" s="239"/>
      <c r="G652" s="239"/>
      <c r="H652" s="239"/>
    </row>
    <row r="653" spans="1:8" ht="18" customHeight="1">
      <c r="A653" s="239"/>
      <c r="B653" s="239"/>
      <c r="C653" s="239"/>
      <c r="D653" s="239"/>
      <c r="E653" s="239"/>
      <c r="F653" s="239"/>
      <c r="G653" s="239"/>
      <c r="H653" s="239"/>
    </row>
    <row r="654" spans="1:8" ht="18" customHeight="1">
      <c r="A654" s="239"/>
      <c r="B654" s="239"/>
      <c r="C654" s="239"/>
      <c r="D654" s="239"/>
      <c r="E654" s="239"/>
      <c r="F654" s="239"/>
      <c r="G654" s="239"/>
      <c r="H654" s="239"/>
    </row>
    <row r="655" spans="1:8" ht="18" customHeight="1">
      <c r="A655" s="239"/>
      <c r="B655" s="239"/>
      <c r="C655" s="239"/>
      <c r="D655" s="239"/>
      <c r="E655" s="239"/>
      <c r="F655" s="239"/>
      <c r="G655" s="239"/>
      <c r="H655" s="239"/>
    </row>
    <row r="656" spans="1:8" ht="18" customHeight="1">
      <c r="A656" s="239"/>
      <c r="B656" s="239"/>
      <c r="C656" s="239"/>
      <c r="D656" s="239"/>
      <c r="E656" s="239"/>
      <c r="F656" s="239"/>
      <c r="G656" s="239"/>
      <c r="H656" s="239"/>
    </row>
    <row r="657" spans="1:8" ht="18" customHeight="1">
      <c r="A657" s="239"/>
      <c r="B657" s="239"/>
      <c r="C657" s="239"/>
      <c r="D657" s="239"/>
      <c r="E657" s="239"/>
      <c r="F657" s="239"/>
      <c r="G657" s="239"/>
      <c r="H657" s="239"/>
    </row>
    <row r="658" spans="1:8" ht="18" customHeight="1">
      <c r="A658" s="239"/>
      <c r="B658" s="239"/>
      <c r="C658" s="239"/>
      <c r="D658" s="239"/>
      <c r="E658" s="239"/>
      <c r="F658" s="239"/>
      <c r="G658" s="239"/>
      <c r="H658" s="239"/>
    </row>
    <row r="659" spans="1:8" ht="18" customHeight="1">
      <c r="A659" s="239"/>
      <c r="B659" s="239"/>
      <c r="C659" s="239"/>
      <c r="D659" s="239"/>
      <c r="E659" s="239"/>
      <c r="F659" s="239"/>
      <c r="G659" s="239"/>
      <c r="H659" s="239"/>
    </row>
    <row r="660" spans="1:8" ht="18" customHeight="1">
      <c r="A660" s="239"/>
      <c r="B660" s="239"/>
      <c r="C660" s="239"/>
      <c r="D660" s="239"/>
      <c r="E660" s="239"/>
      <c r="F660" s="239"/>
      <c r="G660" s="239"/>
      <c r="H660" s="239"/>
    </row>
    <row r="661" spans="1:8" ht="18" customHeight="1">
      <c r="A661" s="239"/>
      <c r="B661" s="239"/>
      <c r="C661" s="239"/>
      <c r="D661" s="239"/>
      <c r="E661" s="239"/>
      <c r="F661" s="239"/>
      <c r="G661" s="239"/>
      <c r="H661" s="239"/>
    </row>
    <row r="662" spans="1:8" ht="18" customHeight="1">
      <c r="A662" s="239"/>
      <c r="B662" s="239"/>
      <c r="C662" s="239"/>
      <c r="D662" s="239"/>
      <c r="E662" s="239"/>
      <c r="F662" s="239"/>
      <c r="G662" s="239"/>
      <c r="H662" s="239"/>
    </row>
    <row r="663" spans="1:8" ht="18" customHeight="1">
      <c r="A663" s="239"/>
      <c r="B663" s="239"/>
      <c r="C663" s="239"/>
      <c r="D663" s="239"/>
      <c r="E663" s="239"/>
      <c r="F663" s="239"/>
      <c r="G663" s="239"/>
      <c r="H663" s="239"/>
    </row>
    <row r="664" spans="1:8" ht="18" customHeight="1">
      <c r="A664" s="239"/>
      <c r="B664" s="239"/>
      <c r="C664" s="239"/>
      <c r="D664" s="239"/>
      <c r="E664" s="239"/>
      <c r="F664" s="239"/>
      <c r="G664" s="239"/>
      <c r="H664" s="239"/>
    </row>
    <row r="665" spans="1:8" ht="18" customHeight="1">
      <c r="A665" s="239"/>
      <c r="B665" s="239"/>
      <c r="C665" s="239"/>
      <c r="D665" s="239"/>
      <c r="E665" s="239"/>
      <c r="F665" s="239"/>
      <c r="G665" s="239"/>
      <c r="H665" s="239"/>
    </row>
    <row r="666" spans="1:8" ht="18" customHeight="1">
      <c r="A666" s="239"/>
      <c r="B666" s="239"/>
      <c r="C666" s="239"/>
      <c r="D666" s="239"/>
      <c r="E666" s="239"/>
      <c r="F666" s="239"/>
      <c r="G666" s="239"/>
      <c r="H666" s="239"/>
    </row>
    <row r="667" spans="1:8" ht="18" customHeight="1">
      <c r="A667" s="239"/>
      <c r="B667" s="239"/>
      <c r="C667" s="239"/>
      <c r="D667" s="239"/>
      <c r="E667" s="239"/>
      <c r="F667" s="239"/>
      <c r="G667" s="239"/>
      <c r="H667" s="239"/>
    </row>
    <row r="668" spans="1:8" ht="18" customHeight="1">
      <c r="A668" s="239"/>
      <c r="B668" s="239"/>
      <c r="C668" s="239"/>
      <c r="D668" s="239"/>
      <c r="E668" s="239"/>
      <c r="F668" s="239"/>
      <c r="G668" s="239"/>
      <c r="H668" s="239"/>
    </row>
    <row r="669" spans="1:8" ht="18" customHeight="1">
      <c r="A669" s="239"/>
      <c r="B669" s="239"/>
      <c r="C669" s="239"/>
      <c r="D669" s="239"/>
      <c r="E669" s="239"/>
      <c r="F669" s="239"/>
      <c r="G669" s="239"/>
      <c r="H669" s="239"/>
    </row>
    <row r="670" spans="1:8" ht="18" customHeight="1">
      <c r="A670" s="239"/>
      <c r="B670" s="239"/>
      <c r="C670" s="239"/>
      <c r="D670" s="239"/>
      <c r="E670" s="239"/>
      <c r="F670" s="239"/>
      <c r="G670" s="239"/>
      <c r="H670" s="239"/>
    </row>
    <row r="671" spans="1:8" ht="18" customHeight="1">
      <c r="A671" s="239"/>
      <c r="B671" s="239"/>
      <c r="C671" s="239"/>
      <c r="D671" s="239"/>
      <c r="E671" s="239"/>
      <c r="F671" s="239"/>
      <c r="G671" s="239"/>
      <c r="H671" s="239"/>
    </row>
    <row r="672" spans="1:8" ht="18" customHeight="1">
      <c r="A672" s="239"/>
      <c r="B672" s="239"/>
      <c r="C672" s="239"/>
      <c r="D672" s="239"/>
      <c r="E672" s="239"/>
      <c r="F672" s="239"/>
      <c r="G672" s="239"/>
      <c r="H672" s="239"/>
    </row>
    <row r="673" spans="1:8" ht="18" customHeight="1">
      <c r="A673" s="239"/>
      <c r="B673" s="239"/>
      <c r="C673" s="239"/>
      <c r="D673" s="239"/>
      <c r="E673" s="239"/>
      <c r="F673" s="239"/>
      <c r="G673" s="239"/>
      <c r="H673" s="239"/>
    </row>
    <row r="674" spans="1:8" ht="18" customHeight="1">
      <c r="A674" s="239"/>
      <c r="B674" s="239"/>
      <c r="C674" s="239"/>
      <c r="D674" s="239"/>
      <c r="E674" s="239"/>
      <c r="F674" s="239"/>
      <c r="G674" s="239"/>
      <c r="H674" s="239"/>
    </row>
    <row r="675" spans="1:8" ht="18" customHeight="1">
      <c r="A675" s="239"/>
      <c r="B675" s="239"/>
      <c r="C675" s="239"/>
      <c r="D675" s="239"/>
      <c r="E675" s="239"/>
      <c r="F675" s="239"/>
      <c r="G675" s="239"/>
      <c r="H675" s="239"/>
    </row>
    <row r="676" spans="1:8" ht="18" customHeight="1">
      <c r="A676" s="239"/>
      <c r="B676" s="239"/>
      <c r="C676" s="239"/>
      <c r="D676" s="239"/>
      <c r="E676" s="239"/>
      <c r="F676" s="239"/>
      <c r="G676" s="239"/>
      <c r="H676" s="239"/>
    </row>
    <row r="677" spans="1:8" ht="18" customHeight="1">
      <c r="A677" s="239"/>
      <c r="B677" s="239"/>
      <c r="C677" s="239"/>
      <c r="D677" s="239"/>
      <c r="E677" s="239"/>
      <c r="F677" s="239"/>
      <c r="G677" s="239"/>
      <c r="H677" s="239"/>
    </row>
    <row r="678" spans="1:8" ht="18" customHeight="1">
      <c r="A678" s="239"/>
      <c r="B678" s="239"/>
      <c r="C678" s="239"/>
      <c r="D678" s="239"/>
      <c r="E678" s="239"/>
      <c r="F678" s="239"/>
      <c r="G678" s="239"/>
      <c r="H678" s="239"/>
    </row>
    <row r="679" spans="1:8" ht="18" customHeight="1">
      <c r="A679" s="239"/>
      <c r="B679" s="239"/>
      <c r="C679" s="239"/>
      <c r="D679" s="239"/>
      <c r="E679" s="239"/>
      <c r="F679" s="239"/>
      <c r="G679" s="239"/>
      <c r="H679" s="239"/>
    </row>
    <row r="680" spans="1:8" ht="18" customHeight="1">
      <c r="A680" s="239"/>
      <c r="B680" s="239"/>
      <c r="C680" s="239"/>
      <c r="D680" s="239"/>
      <c r="E680" s="239"/>
      <c r="F680" s="239"/>
      <c r="G680" s="239"/>
      <c r="H680" s="239"/>
    </row>
    <row r="681" spans="1:8" ht="18" customHeight="1">
      <c r="A681" s="239"/>
      <c r="B681" s="239"/>
      <c r="C681" s="239"/>
      <c r="D681" s="239"/>
      <c r="E681" s="239"/>
      <c r="F681" s="239"/>
      <c r="G681" s="239"/>
      <c r="H681" s="239"/>
    </row>
    <row r="682" spans="1:8" ht="18" customHeight="1">
      <c r="A682" s="239"/>
      <c r="B682" s="239"/>
      <c r="C682" s="239"/>
      <c r="D682" s="239"/>
      <c r="E682" s="239"/>
      <c r="F682" s="239"/>
      <c r="G682" s="239"/>
      <c r="H682" s="239"/>
    </row>
    <row r="683" spans="1:8" ht="18" customHeight="1">
      <c r="A683" s="239"/>
      <c r="B683" s="239"/>
      <c r="C683" s="239"/>
      <c r="D683" s="239"/>
      <c r="E683" s="239"/>
      <c r="F683" s="239"/>
      <c r="G683" s="239"/>
      <c r="H683" s="239"/>
    </row>
    <row r="684" spans="1:8" ht="18" customHeight="1">
      <c r="A684" s="239"/>
      <c r="B684" s="239"/>
      <c r="C684" s="239"/>
      <c r="D684" s="239"/>
      <c r="E684" s="239"/>
      <c r="F684" s="239"/>
      <c r="G684" s="239"/>
      <c r="H684" s="239"/>
    </row>
    <row r="685" spans="1:8" ht="18" customHeight="1">
      <c r="A685" s="239"/>
      <c r="B685" s="239"/>
      <c r="C685" s="239"/>
      <c r="D685" s="239"/>
      <c r="E685" s="239"/>
      <c r="F685" s="239"/>
      <c r="G685" s="239"/>
      <c r="H685" s="239"/>
    </row>
    <row r="686" spans="1:8" ht="18" customHeight="1">
      <c r="A686" s="239"/>
      <c r="B686" s="239"/>
      <c r="C686" s="239"/>
      <c r="D686" s="239"/>
      <c r="E686" s="239"/>
      <c r="F686" s="239"/>
      <c r="G686" s="239"/>
      <c r="H686" s="239"/>
    </row>
    <row r="687" spans="1:8" ht="18" customHeight="1">
      <c r="A687" s="239"/>
      <c r="B687" s="239"/>
      <c r="C687" s="239"/>
      <c r="D687" s="239"/>
      <c r="E687" s="239"/>
      <c r="F687" s="239"/>
      <c r="G687" s="239"/>
      <c r="H687" s="239"/>
    </row>
    <row r="688" spans="1:8" ht="18" customHeight="1">
      <c r="A688" s="239"/>
      <c r="B688" s="239"/>
      <c r="C688" s="239"/>
      <c r="D688" s="239"/>
      <c r="E688" s="239"/>
      <c r="F688" s="239"/>
      <c r="G688" s="239"/>
      <c r="H688" s="239"/>
    </row>
    <row r="689" spans="1:8" ht="18" customHeight="1">
      <c r="A689" s="239"/>
      <c r="B689" s="239"/>
      <c r="C689" s="239"/>
      <c r="D689" s="239"/>
      <c r="E689" s="239"/>
      <c r="F689" s="239"/>
      <c r="G689" s="239"/>
      <c r="H689" s="239"/>
    </row>
    <row r="690" spans="1:8" ht="18" customHeight="1">
      <c r="A690" s="239"/>
      <c r="B690" s="239"/>
      <c r="C690" s="239"/>
      <c r="D690" s="239"/>
      <c r="E690" s="239"/>
      <c r="F690" s="239"/>
      <c r="G690" s="239"/>
      <c r="H690" s="239"/>
    </row>
    <row r="691" spans="1:8" ht="18" customHeight="1">
      <c r="A691" s="239"/>
      <c r="B691" s="239"/>
      <c r="C691" s="239"/>
      <c r="D691" s="239"/>
      <c r="E691" s="239"/>
      <c r="F691" s="239"/>
      <c r="G691" s="239"/>
      <c r="H691" s="239"/>
    </row>
    <row r="692" spans="1:8" ht="18" customHeight="1">
      <c r="A692" s="239"/>
      <c r="B692" s="239"/>
      <c r="C692" s="239"/>
      <c r="D692" s="239"/>
      <c r="E692" s="239"/>
      <c r="F692" s="239"/>
      <c r="G692" s="239"/>
      <c r="H692" s="239"/>
    </row>
    <row r="693" spans="1:8" ht="18" customHeight="1">
      <c r="A693" s="239"/>
      <c r="B693" s="239"/>
      <c r="C693" s="239"/>
      <c r="D693" s="239"/>
      <c r="E693" s="239"/>
      <c r="F693" s="239"/>
      <c r="G693" s="239"/>
      <c r="H693" s="239"/>
    </row>
    <row r="694" spans="1:8" ht="18" customHeight="1">
      <c r="A694" s="239"/>
      <c r="B694" s="239"/>
      <c r="C694" s="239"/>
      <c r="D694" s="239"/>
      <c r="E694" s="239"/>
      <c r="F694" s="239"/>
      <c r="G694" s="239"/>
      <c r="H694" s="239"/>
    </row>
    <row r="695" spans="1:8" ht="18" customHeight="1">
      <c r="A695" s="239"/>
      <c r="B695" s="239"/>
      <c r="C695" s="239"/>
      <c r="D695" s="239"/>
      <c r="E695" s="239"/>
      <c r="F695" s="239"/>
      <c r="G695" s="239"/>
      <c r="H695" s="239"/>
    </row>
    <row r="696" spans="1:8" ht="18" customHeight="1">
      <c r="A696" s="239"/>
      <c r="B696" s="239"/>
      <c r="C696" s="239"/>
      <c r="D696" s="239"/>
      <c r="E696" s="239"/>
      <c r="F696" s="239"/>
      <c r="G696" s="239"/>
      <c r="H696" s="239"/>
    </row>
    <row r="697" spans="1:8" ht="18" customHeight="1">
      <c r="A697" s="239"/>
      <c r="B697" s="239"/>
      <c r="C697" s="239"/>
      <c r="D697" s="239"/>
      <c r="E697" s="239"/>
      <c r="F697" s="239"/>
      <c r="G697" s="239"/>
      <c r="H697" s="239"/>
    </row>
    <row r="698" spans="1:8" ht="18" customHeight="1">
      <c r="A698" s="239"/>
      <c r="B698" s="239"/>
      <c r="C698" s="239"/>
      <c r="D698" s="239"/>
      <c r="E698" s="239"/>
      <c r="F698" s="239"/>
      <c r="G698" s="239"/>
      <c r="H698" s="239"/>
    </row>
    <row r="699" spans="1:8" ht="18" customHeight="1">
      <c r="A699" s="239"/>
      <c r="B699" s="239"/>
      <c r="C699" s="239"/>
      <c r="D699" s="239"/>
      <c r="E699" s="239"/>
      <c r="F699" s="239"/>
      <c r="G699" s="239"/>
      <c r="H699" s="239"/>
    </row>
    <row r="700" spans="1:8" ht="18" customHeight="1">
      <c r="A700" s="239"/>
      <c r="B700" s="239"/>
      <c r="C700" s="239"/>
      <c r="D700" s="239"/>
      <c r="E700" s="239"/>
      <c r="F700" s="239"/>
      <c r="G700" s="239"/>
      <c r="H700" s="239"/>
    </row>
    <row r="701" spans="1:8" ht="18" customHeight="1">
      <c r="A701" s="239"/>
      <c r="B701" s="239"/>
      <c r="C701" s="239"/>
      <c r="D701" s="239"/>
      <c r="E701" s="239"/>
      <c r="F701" s="239"/>
      <c r="G701" s="239"/>
      <c r="H701" s="239"/>
    </row>
    <row r="702" spans="1:8" ht="18" customHeight="1">
      <c r="A702" s="239"/>
      <c r="B702" s="239"/>
      <c r="C702" s="239"/>
      <c r="D702" s="239"/>
      <c r="E702" s="239"/>
      <c r="F702" s="239"/>
      <c r="G702" s="239"/>
      <c r="H702" s="239"/>
    </row>
    <row r="703" spans="1:8" ht="18" customHeight="1">
      <c r="A703" s="239"/>
      <c r="B703" s="239"/>
      <c r="C703" s="239"/>
      <c r="D703" s="239"/>
      <c r="E703" s="239"/>
      <c r="F703" s="239"/>
      <c r="G703" s="239"/>
      <c r="H703" s="239"/>
    </row>
    <row r="704" spans="1:8" ht="18" customHeight="1">
      <c r="A704" s="239"/>
      <c r="B704" s="239"/>
      <c r="C704" s="239"/>
      <c r="D704" s="239"/>
      <c r="E704" s="239"/>
      <c r="F704" s="239"/>
      <c r="G704" s="239"/>
      <c r="H704" s="239"/>
    </row>
    <row r="705" spans="1:8" ht="18" customHeight="1">
      <c r="A705" s="239"/>
      <c r="B705" s="239"/>
      <c r="C705" s="239"/>
      <c r="D705" s="239"/>
      <c r="E705" s="239"/>
      <c r="F705" s="239"/>
      <c r="G705" s="239"/>
      <c r="H705" s="239"/>
    </row>
    <row r="706" spans="1:8" ht="18" customHeight="1">
      <c r="A706" s="239"/>
      <c r="B706" s="239"/>
      <c r="C706" s="239"/>
      <c r="D706" s="239"/>
      <c r="E706" s="239"/>
      <c r="F706" s="239"/>
      <c r="G706" s="239"/>
      <c r="H706" s="239"/>
    </row>
    <row r="707" spans="1:8" ht="18" customHeight="1">
      <c r="A707" s="239"/>
      <c r="B707" s="239"/>
      <c r="C707" s="239"/>
      <c r="D707" s="239"/>
      <c r="E707" s="239"/>
      <c r="F707" s="239"/>
      <c r="G707" s="239"/>
      <c r="H707" s="239"/>
    </row>
    <row r="708" spans="1:8" ht="18" customHeight="1">
      <c r="A708" s="239"/>
      <c r="B708" s="239"/>
      <c r="C708" s="239"/>
      <c r="D708" s="239"/>
      <c r="E708" s="239"/>
      <c r="F708" s="239"/>
      <c r="G708" s="239"/>
      <c r="H708" s="239"/>
    </row>
    <row r="709" spans="1:8" ht="18" customHeight="1">
      <c r="A709" s="239"/>
      <c r="B709" s="239"/>
      <c r="C709" s="239"/>
      <c r="D709" s="239"/>
      <c r="E709" s="239"/>
      <c r="F709" s="239"/>
      <c r="G709" s="239"/>
      <c r="H709" s="239"/>
    </row>
    <row r="710" spans="1:8" ht="18" customHeight="1">
      <c r="A710" s="239"/>
      <c r="B710" s="239"/>
      <c r="C710" s="239"/>
      <c r="D710" s="239"/>
      <c r="E710" s="239"/>
      <c r="F710" s="239"/>
      <c r="G710" s="239"/>
      <c r="H710" s="239"/>
    </row>
    <row r="711" spans="1:8" ht="18" customHeight="1">
      <c r="A711" s="239"/>
      <c r="B711" s="239"/>
      <c r="C711" s="239"/>
      <c r="D711" s="239"/>
      <c r="E711" s="239"/>
      <c r="F711" s="239"/>
      <c r="G711" s="239"/>
      <c r="H711" s="239"/>
    </row>
    <row r="712" spans="1:8" ht="18" customHeight="1">
      <c r="A712" s="239"/>
      <c r="B712" s="239"/>
      <c r="C712" s="239"/>
      <c r="D712" s="239"/>
      <c r="E712" s="239"/>
      <c r="F712" s="239"/>
      <c r="G712" s="239"/>
      <c r="H712" s="239"/>
    </row>
    <row r="713" spans="1:8" ht="18" customHeight="1">
      <c r="A713" s="239"/>
      <c r="B713" s="239"/>
      <c r="C713" s="239"/>
      <c r="D713" s="239"/>
      <c r="E713" s="239"/>
      <c r="F713" s="239"/>
      <c r="G713" s="239"/>
      <c r="H713" s="239"/>
    </row>
    <row r="714" spans="1:8" ht="18" customHeight="1">
      <c r="A714" s="239"/>
      <c r="B714" s="239"/>
      <c r="C714" s="239"/>
      <c r="D714" s="239"/>
      <c r="E714" s="239"/>
      <c r="F714" s="239"/>
      <c r="G714" s="239"/>
      <c r="H714" s="239"/>
    </row>
    <row r="715" spans="1:8" ht="18" customHeight="1">
      <c r="A715" s="239"/>
      <c r="B715" s="239"/>
      <c r="C715" s="239"/>
      <c r="D715" s="239"/>
      <c r="E715" s="239"/>
      <c r="F715" s="239"/>
      <c r="G715" s="239"/>
      <c r="H715" s="239"/>
    </row>
    <row r="716" spans="1:8" ht="18" customHeight="1">
      <c r="A716" s="239"/>
      <c r="B716" s="239"/>
      <c r="C716" s="239"/>
      <c r="D716" s="239"/>
      <c r="E716" s="239"/>
      <c r="F716" s="239"/>
      <c r="G716" s="239"/>
      <c r="H716" s="239"/>
    </row>
    <row r="717" spans="1:8" ht="18" customHeight="1">
      <c r="A717" s="239"/>
      <c r="B717" s="239"/>
      <c r="C717" s="239"/>
      <c r="D717" s="239"/>
      <c r="E717" s="239"/>
      <c r="F717" s="239"/>
      <c r="G717" s="239"/>
      <c r="H717" s="239"/>
    </row>
    <row r="718" spans="1:8" ht="18" customHeight="1">
      <c r="A718" s="239"/>
      <c r="B718" s="239"/>
      <c r="C718" s="239"/>
      <c r="D718" s="239"/>
      <c r="E718" s="239"/>
      <c r="F718" s="239"/>
      <c r="G718" s="239"/>
      <c r="H718" s="239"/>
    </row>
    <row r="719" spans="1:8" ht="18" customHeight="1">
      <c r="A719" s="239"/>
      <c r="B719" s="239"/>
      <c r="C719" s="239"/>
      <c r="D719" s="239"/>
      <c r="E719" s="239"/>
      <c r="F719" s="239"/>
      <c r="G719" s="239"/>
      <c r="H719" s="239"/>
    </row>
    <row r="720" spans="1:8" ht="18" customHeight="1">
      <c r="A720" s="239"/>
      <c r="B720" s="239"/>
      <c r="C720" s="239"/>
      <c r="D720" s="239"/>
      <c r="E720" s="239"/>
      <c r="F720" s="239"/>
      <c r="G720" s="239"/>
      <c r="H720" s="239"/>
    </row>
    <row r="721" spans="1:8" ht="18" customHeight="1">
      <c r="A721" s="239"/>
      <c r="B721" s="239"/>
      <c r="C721" s="239"/>
      <c r="D721" s="239"/>
      <c r="E721" s="239"/>
      <c r="F721" s="239"/>
      <c r="G721" s="239"/>
      <c r="H721" s="239"/>
    </row>
    <row r="722" spans="1:8" ht="18" customHeight="1">
      <c r="A722" s="239"/>
      <c r="B722" s="239"/>
      <c r="C722" s="239"/>
      <c r="D722" s="239"/>
      <c r="E722" s="239"/>
      <c r="F722" s="239"/>
      <c r="G722" s="239"/>
      <c r="H722" s="239"/>
    </row>
    <row r="723" spans="1:8" ht="18" customHeight="1">
      <c r="A723" s="239"/>
      <c r="B723" s="239"/>
      <c r="C723" s="239"/>
      <c r="D723" s="239"/>
      <c r="E723" s="239"/>
      <c r="F723" s="239"/>
      <c r="G723" s="239"/>
      <c r="H723" s="239"/>
    </row>
    <row r="724" spans="1:8" ht="18" customHeight="1">
      <c r="A724" s="239"/>
      <c r="B724" s="239"/>
      <c r="C724" s="239"/>
      <c r="D724" s="239"/>
      <c r="E724" s="239"/>
      <c r="F724" s="239"/>
      <c r="G724" s="239"/>
      <c r="H724" s="239"/>
    </row>
    <row r="725" spans="1:8" ht="18" customHeight="1">
      <c r="A725" s="239"/>
      <c r="B725" s="239"/>
      <c r="C725" s="239"/>
      <c r="D725" s="239"/>
      <c r="E725" s="239"/>
      <c r="F725" s="239"/>
      <c r="G725" s="239"/>
      <c r="H725" s="239"/>
    </row>
    <row r="726" spans="1:8" ht="18" customHeight="1">
      <c r="A726" s="239"/>
      <c r="B726" s="239"/>
      <c r="C726" s="239"/>
      <c r="D726" s="239"/>
      <c r="E726" s="239"/>
      <c r="F726" s="239"/>
      <c r="G726" s="239"/>
      <c r="H726" s="239"/>
    </row>
    <row r="727" spans="1:8" ht="18" customHeight="1">
      <c r="A727" s="239"/>
      <c r="B727" s="239"/>
      <c r="C727" s="239"/>
      <c r="D727" s="239"/>
      <c r="E727" s="239"/>
      <c r="F727" s="239"/>
      <c r="G727" s="239"/>
      <c r="H727" s="239"/>
    </row>
    <row r="728" spans="1:8" ht="18" customHeight="1">
      <c r="A728" s="239"/>
      <c r="B728" s="239"/>
      <c r="C728" s="239"/>
      <c r="D728" s="239"/>
      <c r="E728" s="239"/>
      <c r="F728" s="239"/>
      <c r="G728" s="239"/>
      <c r="H728" s="239"/>
    </row>
    <row r="729" spans="1:8" ht="18" customHeight="1">
      <c r="A729" s="239"/>
      <c r="B729" s="239"/>
      <c r="C729" s="239"/>
      <c r="D729" s="239"/>
      <c r="E729" s="239"/>
      <c r="F729" s="239"/>
      <c r="G729" s="239"/>
      <c r="H729" s="239"/>
    </row>
    <row r="730" spans="1:8" ht="18" customHeight="1">
      <c r="A730" s="239"/>
      <c r="B730" s="239"/>
      <c r="C730" s="239"/>
      <c r="D730" s="239"/>
      <c r="E730" s="239"/>
      <c r="F730" s="239"/>
      <c r="G730" s="239"/>
      <c r="H730" s="239"/>
    </row>
    <row r="731" spans="1:8" ht="18" customHeight="1">
      <c r="A731" s="239"/>
      <c r="B731" s="239"/>
      <c r="C731" s="239"/>
      <c r="D731" s="239"/>
      <c r="E731" s="239"/>
      <c r="F731" s="239"/>
      <c r="G731" s="239"/>
      <c r="H731" s="239"/>
    </row>
    <row r="732" spans="1:8" ht="18" customHeight="1">
      <c r="A732" s="239"/>
      <c r="B732" s="239"/>
      <c r="C732" s="239"/>
      <c r="D732" s="239"/>
      <c r="E732" s="239"/>
      <c r="F732" s="239"/>
      <c r="G732" s="239"/>
      <c r="H732" s="239"/>
    </row>
    <row r="733" spans="1:8" ht="18" customHeight="1">
      <c r="A733" s="239"/>
      <c r="B733" s="239"/>
      <c r="C733" s="239"/>
      <c r="D733" s="239"/>
      <c r="E733" s="239"/>
      <c r="F733" s="239"/>
      <c r="G733" s="239"/>
      <c r="H733" s="239"/>
    </row>
    <row r="734" spans="1:8" ht="18" customHeight="1">
      <c r="A734" s="239"/>
      <c r="B734" s="239"/>
      <c r="C734" s="239"/>
      <c r="D734" s="239"/>
      <c r="E734" s="239"/>
      <c r="F734" s="239"/>
      <c r="G734" s="239"/>
      <c r="H734" s="239"/>
    </row>
    <row r="735" spans="1:8" ht="18" customHeight="1">
      <c r="A735" s="239"/>
      <c r="B735" s="239"/>
      <c r="C735" s="239"/>
      <c r="D735" s="239"/>
      <c r="E735" s="239"/>
      <c r="F735" s="239"/>
      <c r="G735" s="239"/>
      <c r="H735" s="239"/>
    </row>
    <row r="736" spans="1:8" ht="18" customHeight="1">
      <c r="A736" s="239"/>
      <c r="B736" s="239"/>
      <c r="C736" s="239"/>
      <c r="D736" s="239"/>
      <c r="E736" s="239"/>
      <c r="F736" s="239"/>
      <c r="G736" s="239"/>
      <c r="H736" s="239"/>
    </row>
    <row r="737" spans="1:8" ht="18" customHeight="1">
      <c r="A737" s="239"/>
      <c r="B737" s="239"/>
      <c r="C737" s="239"/>
      <c r="D737" s="239"/>
      <c r="E737" s="239"/>
      <c r="F737" s="239"/>
      <c r="G737" s="239"/>
      <c r="H737" s="239"/>
    </row>
    <row r="738" spans="1:8" ht="18" customHeight="1">
      <c r="A738" s="239"/>
      <c r="B738" s="239"/>
      <c r="C738" s="239"/>
      <c r="D738" s="239"/>
      <c r="E738" s="239"/>
      <c r="F738" s="239"/>
      <c r="G738" s="239"/>
      <c r="H738" s="239"/>
    </row>
    <row r="739" spans="1:8" ht="18" customHeight="1">
      <c r="A739" s="239"/>
      <c r="B739" s="239"/>
      <c r="C739" s="239"/>
      <c r="D739" s="239"/>
      <c r="E739" s="239"/>
      <c r="F739" s="239"/>
      <c r="G739" s="239"/>
      <c r="H739" s="239"/>
    </row>
    <row r="740" spans="1:8" ht="18" customHeight="1">
      <c r="A740" s="239"/>
      <c r="B740" s="239"/>
      <c r="C740" s="239"/>
      <c r="D740" s="239"/>
      <c r="E740" s="239"/>
      <c r="F740" s="239"/>
      <c r="G740" s="239"/>
      <c r="H740" s="239"/>
    </row>
    <row r="741" spans="1:8" ht="18" customHeight="1">
      <c r="A741" s="239"/>
      <c r="B741" s="239"/>
      <c r="C741" s="239"/>
      <c r="D741" s="239"/>
      <c r="E741" s="239"/>
      <c r="F741" s="239"/>
      <c r="G741" s="239"/>
      <c r="H741" s="239"/>
    </row>
    <row r="742" spans="1:8" ht="18" customHeight="1">
      <c r="A742" s="239"/>
      <c r="B742" s="239"/>
      <c r="C742" s="239"/>
      <c r="D742" s="239"/>
      <c r="E742" s="239"/>
      <c r="F742" s="239"/>
      <c r="G742" s="239"/>
      <c r="H742" s="239"/>
    </row>
    <row r="743" spans="1:8" ht="18" customHeight="1">
      <c r="A743" s="239"/>
      <c r="B743" s="239"/>
      <c r="C743" s="239"/>
      <c r="D743" s="239"/>
      <c r="E743" s="239"/>
      <c r="F743" s="239"/>
      <c r="G743" s="239"/>
      <c r="H743" s="239"/>
    </row>
    <row r="744" spans="1:8" ht="18" customHeight="1">
      <c r="A744" s="239"/>
      <c r="B744" s="239"/>
      <c r="C744" s="239"/>
      <c r="D744" s="239"/>
      <c r="E744" s="239"/>
      <c r="F744" s="239"/>
      <c r="G744" s="239"/>
      <c r="H744" s="239"/>
    </row>
    <row r="745" spans="1:8" ht="18" customHeight="1">
      <c r="A745" s="239"/>
      <c r="B745" s="239"/>
      <c r="C745" s="239"/>
      <c r="D745" s="239"/>
      <c r="E745" s="239"/>
      <c r="F745" s="239"/>
      <c r="G745" s="239"/>
      <c r="H745" s="239"/>
    </row>
    <row r="746" spans="1:8" ht="18" customHeight="1">
      <c r="A746" s="239"/>
      <c r="B746" s="239"/>
      <c r="C746" s="239"/>
      <c r="D746" s="239"/>
      <c r="E746" s="239"/>
      <c r="F746" s="239"/>
      <c r="G746" s="239"/>
      <c r="H746" s="239"/>
    </row>
    <row r="747" spans="1:8" ht="18" customHeight="1">
      <c r="A747" s="239"/>
      <c r="B747" s="239"/>
      <c r="C747" s="239"/>
      <c r="D747" s="239"/>
      <c r="E747" s="239"/>
      <c r="F747" s="239"/>
      <c r="G747" s="239"/>
      <c r="H747" s="239"/>
    </row>
    <row r="748" spans="1:8" ht="18" customHeight="1">
      <c r="A748" s="239"/>
      <c r="B748" s="239"/>
      <c r="C748" s="239"/>
      <c r="D748" s="239"/>
      <c r="E748" s="239"/>
      <c r="F748" s="239"/>
      <c r="G748" s="239"/>
      <c r="H748" s="239"/>
    </row>
    <row r="749" spans="1:8" ht="18" customHeight="1">
      <c r="A749" s="239"/>
      <c r="B749" s="239"/>
      <c r="C749" s="239"/>
      <c r="D749" s="239"/>
      <c r="E749" s="239"/>
      <c r="F749" s="239"/>
      <c r="G749" s="239"/>
      <c r="H749" s="239"/>
    </row>
    <row r="750" spans="1:8" ht="18" customHeight="1">
      <c r="A750" s="239"/>
      <c r="B750" s="239"/>
      <c r="C750" s="239"/>
      <c r="D750" s="239"/>
      <c r="E750" s="239"/>
      <c r="F750" s="239"/>
      <c r="G750" s="239"/>
      <c r="H750" s="239"/>
    </row>
    <row r="751" spans="1:8" ht="18" customHeight="1">
      <c r="A751" s="239"/>
      <c r="B751" s="239"/>
      <c r="C751" s="239"/>
      <c r="D751" s="239"/>
      <c r="E751" s="239"/>
      <c r="F751" s="239"/>
      <c r="G751" s="239"/>
      <c r="H751" s="239"/>
    </row>
    <row r="752" spans="1:8" ht="18" customHeight="1">
      <c r="A752" s="239"/>
      <c r="B752" s="239"/>
      <c r="C752" s="239"/>
      <c r="D752" s="239"/>
      <c r="E752" s="239"/>
      <c r="F752" s="239"/>
      <c r="G752" s="239"/>
      <c r="H752" s="239"/>
    </row>
    <row r="753" spans="1:8" ht="18" customHeight="1">
      <c r="A753" s="239"/>
      <c r="B753" s="239"/>
      <c r="C753" s="239"/>
      <c r="D753" s="239"/>
      <c r="E753" s="239"/>
      <c r="F753" s="239"/>
      <c r="G753" s="239"/>
      <c r="H753" s="239"/>
    </row>
    <row r="754" spans="1:8" ht="18" customHeight="1">
      <c r="A754" s="239"/>
      <c r="B754" s="239"/>
      <c r="C754" s="239"/>
      <c r="D754" s="239"/>
      <c r="E754" s="239"/>
      <c r="F754" s="239"/>
      <c r="G754" s="239"/>
      <c r="H754" s="239"/>
    </row>
    <row r="755" spans="1:8" ht="18" customHeight="1">
      <c r="A755" s="239"/>
      <c r="B755" s="239"/>
      <c r="C755" s="239"/>
      <c r="D755" s="239"/>
      <c r="E755" s="239"/>
      <c r="F755" s="239"/>
      <c r="G755" s="239"/>
      <c r="H755" s="239"/>
    </row>
    <row r="756" spans="1:8" ht="18" customHeight="1">
      <c r="A756" s="239"/>
      <c r="B756" s="239"/>
      <c r="C756" s="239"/>
      <c r="D756" s="239"/>
      <c r="E756" s="239"/>
      <c r="F756" s="239"/>
      <c r="G756" s="239"/>
      <c r="H756" s="239"/>
    </row>
    <row r="757" spans="1:8" ht="18" customHeight="1">
      <c r="A757" s="239"/>
      <c r="B757" s="239"/>
      <c r="C757" s="239"/>
      <c r="D757" s="239"/>
      <c r="E757" s="239"/>
      <c r="F757" s="239"/>
      <c r="G757" s="239"/>
      <c r="H757" s="239"/>
    </row>
    <row r="758" spans="1:8" ht="18" customHeight="1">
      <c r="A758" s="239"/>
      <c r="B758" s="239"/>
      <c r="C758" s="239"/>
      <c r="D758" s="239"/>
      <c r="E758" s="239"/>
      <c r="F758" s="239"/>
      <c r="G758" s="239"/>
      <c r="H758" s="239"/>
    </row>
    <row r="759" spans="1:8" ht="18" customHeight="1">
      <c r="A759" s="239"/>
      <c r="B759" s="239"/>
      <c r="C759" s="239"/>
      <c r="D759" s="239"/>
      <c r="E759" s="239"/>
      <c r="F759" s="239"/>
      <c r="G759" s="239"/>
      <c r="H759" s="239"/>
    </row>
    <row r="760" spans="1:8" ht="18" customHeight="1">
      <c r="A760" s="239"/>
      <c r="B760" s="239"/>
      <c r="C760" s="239"/>
      <c r="D760" s="239"/>
      <c r="E760" s="239"/>
      <c r="F760" s="239"/>
      <c r="G760" s="239"/>
      <c r="H760" s="239"/>
    </row>
    <row r="761" spans="1:8" ht="18" customHeight="1">
      <c r="A761" s="239"/>
      <c r="B761" s="239"/>
      <c r="C761" s="239"/>
      <c r="D761" s="239"/>
      <c r="E761" s="239"/>
      <c r="F761" s="239"/>
      <c r="G761" s="239"/>
      <c r="H761" s="239"/>
    </row>
    <row r="762" spans="1:8" ht="18" customHeight="1">
      <c r="A762" s="239"/>
      <c r="B762" s="239"/>
      <c r="C762" s="239"/>
      <c r="D762" s="239"/>
      <c r="E762" s="239"/>
      <c r="F762" s="239"/>
      <c r="G762" s="239"/>
      <c r="H762" s="239"/>
    </row>
    <row r="763" spans="1:8" ht="18" customHeight="1">
      <c r="A763" s="239"/>
      <c r="B763" s="239"/>
      <c r="C763" s="239"/>
      <c r="D763" s="239"/>
      <c r="E763" s="239"/>
      <c r="F763" s="239"/>
      <c r="G763" s="239"/>
      <c r="H763" s="239"/>
    </row>
    <row r="764" spans="1:8" ht="18" customHeight="1">
      <c r="A764" s="239"/>
      <c r="B764" s="239"/>
      <c r="C764" s="239"/>
      <c r="D764" s="239"/>
      <c r="E764" s="239"/>
      <c r="F764" s="239"/>
      <c r="G764" s="239"/>
      <c r="H764" s="239"/>
    </row>
    <row r="765" spans="1:8" ht="18" customHeight="1">
      <c r="A765" s="239"/>
      <c r="B765" s="239"/>
      <c r="C765" s="239"/>
      <c r="D765" s="239"/>
      <c r="E765" s="239"/>
      <c r="F765" s="239"/>
      <c r="G765" s="239"/>
      <c r="H765" s="239"/>
    </row>
    <row r="766" spans="1:8" ht="18" customHeight="1">
      <c r="A766" s="239"/>
      <c r="B766" s="239"/>
      <c r="C766" s="239"/>
      <c r="D766" s="239"/>
      <c r="E766" s="239"/>
      <c r="F766" s="239"/>
      <c r="G766" s="239"/>
      <c r="H766" s="239"/>
    </row>
    <row r="767" spans="1:8" ht="18" customHeight="1">
      <c r="A767" s="239"/>
      <c r="B767" s="239"/>
      <c r="C767" s="239"/>
      <c r="D767" s="239"/>
      <c r="E767" s="239"/>
      <c r="F767" s="239"/>
      <c r="G767" s="239"/>
      <c r="H767" s="239"/>
    </row>
    <row r="768" spans="1:8" ht="18" customHeight="1">
      <c r="A768" s="239"/>
      <c r="B768" s="239"/>
      <c r="C768" s="239"/>
      <c r="D768" s="239"/>
      <c r="E768" s="239"/>
      <c r="F768" s="239"/>
      <c r="G768" s="239"/>
      <c r="H768" s="239"/>
    </row>
    <row r="769" spans="1:8" ht="18" customHeight="1">
      <c r="A769" s="239"/>
      <c r="B769" s="239"/>
      <c r="C769" s="239"/>
      <c r="D769" s="239"/>
      <c r="E769" s="239"/>
      <c r="F769" s="239"/>
      <c r="G769" s="239"/>
      <c r="H769" s="239"/>
    </row>
    <row r="770" spans="1:8" ht="18" customHeight="1">
      <c r="A770" s="239"/>
      <c r="B770" s="239"/>
      <c r="C770" s="239"/>
      <c r="D770" s="239"/>
      <c r="E770" s="239"/>
      <c r="F770" s="239"/>
      <c r="G770" s="239"/>
      <c r="H770" s="239"/>
    </row>
    <row r="771" spans="1:8" ht="18" customHeight="1">
      <c r="A771" s="239"/>
      <c r="B771" s="239"/>
      <c r="C771" s="239"/>
      <c r="D771" s="239"/>
      <c r="E771" s="239"/>
      <c r="F771" s="239"/>
      <c r="G771" s="239"/>
      <c r="H771" s="239"/>
    </row>
    <row r="772" spans="1:8" ht="18" customHeight="1">
      <c r="A772" s="239"/>
      <c r="B772" s="239"/>
      <c r="C772" s="239"/>
      <c r="D772" s="239"/>
      <c r="E772" s="239"/>
      <c r="F772" s="239"/>
      <c r="G772" s="239"/>
      <c r="H772" s="239"/>
    </row>
    <row r="773" spans="1:8" ht="18" customHeight="1">
      <c r="A773" s="239"/>
      <c r="B773" s="239"/>
      <c r="C773" s="239"/>
      <c r="D773" s="239"/>
      <c r="E773" s="239"/>
      <c r="F773" s="239"/>
      <c r="G773" s="239"/>
      <c r="H773" s="239"/>
    </row>
    <row r="774" spans="1:8" ht="18" customHeight="1">
      <c r="A774" s="239"/>
      <c r="B774" s="239"/>
      <c r="C774" s="239"/>
      <c r="D774" s="239"/>
      <c r="E774" s="239"/>
      <c r="F774" s="239"/>
      <c r="G774" s="239"/>
      <c r="H774" s="239"/>
    </row>
    <row r="775" spans="1:8" ht="18" customHeight="1">
      <c r="A775" s="239"/>
      <c r="B775" s="239"/>
      <c r="C775" s="239"/>
      <c r="D775" s="239"/>
      <c r="E775" s="239"/>
      <c r="F775" s="239"/>
      <c r="G775" s="239"/>
      <c r="H775" s="239"/>
    </row>
    <row r="776" spans="1:8" ht="18" customHeight="1">
      <c r="A776" s="239"/>
      <c r="B776" s="239"/>
      <c r="C776" s="239"/>
      <c r="D776" s="239"/>
      <c r="E776" s="239"/>
      <c r="F776" s="239"/>
      <c r="G776" s="239"/>
      <c r="H776" s="239"/>
    </row>
    <row r="777" spans="1:8" ht="18" customHeight="1">
      <c r="A777" s="239"/>
      <c r="B777" s="239"/>
      <c r="C777" s="239"/>
      <c r="D777" s="239"/>
      <c r="E777" s="239"/>
      <c r="F777" s="239"/>
      <c r="G777" s="239"/>
      <c r="H777" s="239"/>
    </row>
    <row r="778" spans="1:8" ht="18" customHeight="1">
      <c r="A778" s="239"/>
      <c r="B778" s="239"/>
      <c r="C778" s="239"/>
      <c r="D778" s="239"/>
      <c r="E778" s="239"/>
      <c r="F778" s="239"/>
      <c r="G778" s="239"/>
      <c r="H778" s="239"/>
    </row>
    <row r="779" spans="1:8" ht="18" customHeight="1">
      <c r="A779" s="239"/>
      <c r="B779" s="239"/>
      <c r="C779" s="239"/>
      <c r="D779" s="239"/>
      <c r="E779" s="239"/>
      <c r="F779" s="239"/>
      <c r="G779" s="239"/>
      <c r="H779" s="239"/>
    </row>
    <row r="780" spans="1:8" ht="18" customHeight="1">
      <c r="A780" s="239"/>
      <c r="B780" s="239"/>
      <c r="C780" s="239"/>
      <c r="D780" s="239"/>
      <c r="E780" s="239"/>
      <c r="F780" s="239"/>
      <c r="G780" s="239"/>
      <c r="H780" s="239"/>
    </row>
    <row r="781" spans="1:8" ht="18" customHeight="1">
      <c r="A781" s="239"/>
      <c r="B781" s="239"/>
      <c r="C781" s="239"/>
      <c r="D781" s="239"/>
      <c r="E781" s="239"/>
      <c r="F781" s="239"/>
      <c r="G781" s="239"/>
      <c r="H781" s="239"/>
    </row>
    <row r="782" spans="1:8" ht="18" customHeight="1">
      <c r="A782" s="239"/>
      <c r="B782" s="239"/>
      <c r="C782" s="239"/>
      <c r="D782" s="239"/>
      <c r="E782" s="239"/>
      <c r="F782" s="239"/>
      <c r="G782" s="239"/>
      <c r="H782" s="239"/>
    </row>
    <row r="783" spans="1:8" ht="18" customHeight="1">
      <c r="A783" s="239"/>
      <c r="B783" s="239"/>
      <c r="C783" s="239"/>
      <c r="D783" s="239"/>
      <c r="E783" s="239"/>
      <c r="F783" s="239"/>
      <c r="G783" s="239"/>
      <c r="H783" s="239"/>
    </row>
    <row r="784" spans="1:8" ht="18" customHeight="1">
      <c r="A784" s="239"/>
      <c r="B784" s="239"/>
      <c r="C784" s="239"/>
      <c r="D784" s="239"/>
      <c r="E784" s="239"/>
      <c r="F784" s="239"/>
      <c r="G784" s="239"/>
      <c r="H784" s="239"/>
    </row>
    <row r="785" spans="1:8" ht="18" customHeight="1">
      <c r="A785" s="239"/>
      <c r="B785" s="239"/>
      <c r="C785" s="239"/>
      <c r="D785" s="239"/>
      <c r="E785" s="239"/>
      <c r="F785" s="239"/>
      <c r="G785" s="239"/>
      <c r="H785" s="239"/>
    </row>
    <row r="786" spans="1:8" ht="18" customHeight="1">
      <c r="A786" s="239"/>
      <c r="B786" s="239"/>
      <c r="C786" s="239"/>
      <c r="D786" s="239"/>
      <c r="E786" s="239"/>
      <c r="F786" s="239"/>
      <c r="G786" s="239"/>
      <c r="H786" s="239"/>
    </row>
    <row r="787" spans="1:8" ht="18" customHeight="1">
      <c r="A787" s="239"/>
      <c r="B787" s="239"/>
      <c r="C787" s="239"/>
      <c r="D787" s="239"/>
      <c r="E787" s="239"/>
      <c r="F787" s="239"/>
      <c r="G787" s="239"/>
      <c r="H787" s="239"/>
    </row>
    <row r="788" spans="1:8" ht="18" customHeight="1">
      <c r="A788" s="239"/>
      <c r="B788" s="239"/>
      <c r="C788" s="239"/>
      <c r="D788" s="239"/>
      <c r="E788" s="239"/>
      <c r="F788" s="239"/>
      <c r="G788" s="239"/>
      <c r="H788" s="239"/>
    </row>
    <row r="789" spans="1:8" ht="18" customHeight="1">
      <c r="A789" s="239"/>
      <c r="B789" s="239"/>
      <c r="C789" s="239"/>
      <c r="D789" s="239"/>
      <c r="E789" s="239"/>
      <c r="F789" s="239"/>
      <c r="G789" s="239"/>
      <c r="H789" s="239"/>
    </row>
    <row r="790" spans="1:8" ht="18" customHeight="1">
      <c r="A790" s="239"/>
      <c r="B790" s="239"/>
      <c r="C790" s="239"/>
      <c r="D790" s="239"/>
      <c r="E790" s="239"/>
      <c r="F790" s="239"/>
      <c r="G790" s="239"/>
      <c r="H790" s="239"/>
    </row>
    <row r="791" spans="1:8" ht="18" customHeight="1">
      <c r="A791" s="239"/>
      <c r="B791" s="239"/>
      <c r="C791" s="239"/>
      <c r="D791" s="239"/>
      <c r="E791" s="239"/>
      <c r="F791" s="239"/>
      <c r="G791" s="239"/>
      <c r="H791" s="239"/>
    </row>
    <row r="792" spans="1:8" ht="18" customHeight="1">
      <c r="A792" s="239"/>
      <c r="B792" s="239"/>
      <c r="C792" s="239"/>
      <c r="D792" s="239"/>
      <c r="E792" s="239"/>
      <c r="F792" s="239"/>
      <c r="G792" s="239"/>
      <c r="H792" s="239"/>
    </row>
    <row r="793" spans="1:8" ht="18" customHeight="1">
      <c r="A793" s="239"/>
      <c r="B793" s="239"/>
      <c r="C793" s="239"/>
      <c r="D793" s="239"/>
      <c r="E793" s="239"/>
      <c r="F793" s="239"/>
      <c r="G793" s="239"/>
      <c r="H793" s="239"/>
    </row>
    <row r="794" spans="1:8" ht="18" customHeight="1">
      <c r="A794" s="239"/>
      <c r="B794" s="239"/>
      <c r="C794" s="239"/>
      <c r="D794" s="239"/>
      <c r="E794" s="239"/>
      <c r="F794" s="239"/>
      <c r="G794" s="239"/>
      <c r="H794" s="239"/>
    </row>
    <row r="795" spans="1:8" ht="18" customHeight="1">
      <c r="A795" s="239"/>
      <c r="B795" s="239"/>
      <c r="C795" s="239"/>
      <c r="D795" s="239"/>
      <c r="E795" s="239"/>
      <c r="F795" s="239"/>
      <c r="G795" s="239"/>
      <c r="H795" s="239"/>
    </row>
    <row r="796" spans="1:8" ht="18" customHeight="1">
      <c r="A796" s="239"/>
      <c r="B796" s="239"/>
      <c r="C796" s="239"/>
      <c r="D796" s="239"/>
      <c r="E796" s="239"/>
      <c r="F796" s="239"/>
      <c r="G796" s="239"/>
      <c r="H796" s="239"/>
    </row>
    <row r="797" spans="1:8" ht="18" customHeight="1">
      <c r="A797" s="239"/>
      <c r="B797" s="239"/>
      <c r="C797" s="239"/>
      <c r="D797" s="239"/>
      <c r="E797" s="239"/>
      <c r="F797" s="239"/>
      <c r="G797" s="239"/>
      <c r="H797" s="239"/>
    </row>
    <row r="798" spans="1:8" ht="18" customHeight="1">
      <c r="A798" s="239"/>
      <c r="B798" s="239"/>
      <c r="C798" s="239"/>
      <c r="D798" s="239"/>
      <c r="E798" s="239"/>
      <c r="F798" s="239"/>
      <c r="G798" s="239"/>
      <c r="H798" s="239"/>
    </row>
    <row r="799" spans="1:8" ht="18" customHeight="1">
      <c r="A799" s="239"/>
      <c r="B799" s="239"/>
      <c r="C799" s="239"/>
      <c r="D799" s="239"/>
      <c r="E799" s="239"/>
      <c r="F799" s="239"/>
      <c r="G799" s="239"/>
      <c r="H799" s="239"/>
    </row>
    <row r="800" spans="1:8" ht="18" customHeight="1">
      <c r="A800" s="239"/>
      <c r="B800" s="239"/>
      <c r="C800" s="239"/>
      <c r="D800" s="239"/>
      <c r="E800" s="239"/>
      <c r="F800" s="239"/>
      <c r="G800" s="239"/>
      <c r="H800" s="239"/>
    </row>
    <row r="801" spans="1:8" ht="18" customHeight="1">
      <c r="A801" s="239"/>
      <c r="B801" s="239"/>
      <c r="C801" s="239"/>
      <c r="D801" s="239"/>
      <c r="E801" s="239"/>
      <c r="F801" s="239"/>
      <c r="G801" s="239"/>
      <c r="H801" s="239"/>
    </row>
    <row r="802" spans="1:8" ht="18" customHeight="1">
      <c r="A802" s="239"/>
      <c r="B802" s="239"/>
      <c r="C802" s="239"/>
      <c r="D802" s="239"/>
      <c r="E802" s="239"/>
      <c r="F802" s="239"/>
      <c r="G802" s="239"/>
      <c r="H802" s="239"/>
    </row>
    <row r="803" spans="1:8" ht="18" customHeight="1">
      <c r="A803" s="239"/>
      <c r="B803" s="239"/>
      <c r="C803" s="239"/>
      <c r="D803" s="239"/>
      <c r="E803" s="239"/>
      <c r="F803" s="239"/>
      <c r="G803" s="239"/>
      <c r="H803" s="239"/>
    </row>
    <row r="804" spans="1:8" ht="18" customHeight="1">
      <c r="A804" s="239"/>
      <c r="B804" s="239"/>
      <c r="C804" s="239"/>
      <c r="D804" s="239"/>
      <c r="E804" s="239"/>
      <c r="F804" s="239"/>
      <c r="G804" s="239"/>
      <c r="H804" s="239"/>
    </row>
    <row r="805" spans="1:8" ht="18" customHeight="1">
      <c r="A805" s="239"/>
      <c r="B805" s="239"/>
      <c r="C805" s="239"/>
      <c r="D805" s="239"/>
      <c r="E805" s="239"/>
      <c r="F805" s="239"/>
      <c r="G805" s="239"/>
      <c r="H805" s="239"/>
    </row>
    <row r="806" spans="1:8" ht="18" customHeight="1">
      <c r="A806" s="239"/>
      <c r="B806" s="239"/>
      <c r="C806" s="239"/>
      <c r="D806" s="239"/>
      <c r="E806" s="239"/>
      <c r="F806" s="239"/>
      <c r="G806" s="239"/>
      <c r="H806" s="239"/>
    </row>
    <row r="807" spans="1:8" ht="18" customHeight="1">
      <c r="A807" s="239"/>
      <c r="B807" s="239"/>
      <c r="C807" s="239"/>
      <c r="D807" s="239"/>
      <c r="E807" s="239"/>
      <c r="F807" s="239"/>
      <c r="G807" s="239"/>
      <c r="H807" s="239"/>
    </row>
    <row r="808" spans="1:8" ht="18" customHeight="1">
      <c r="A808" s="239"/>
      <c r="B808" s="239"/>
      <c r="C808" s="239"/>
      <c r="D808" s="239"/>
      <c r="E808" s="239"/>
      <c r="F808" s="239"/>
      <c r="G808" s="239"/>
      <c r="H808" s="239"/>
    </row>
    <row r="809" spans="1:8" ht="18" customHeight="1">
      <c r="A809" s="239"/>
      <c r="B809" s="239"/>
      <c r="C809" s="239"/>
      <c r="D809" s="239"/>
      <c r="E809" s="239"/>
      <c r="F809" s="239"/>
      <c r="G809" s="239"/>
      <c r="H809" s="239"/>
    </row>
    <row r="810" spans="1:8" ht="18" customHeight="1">
      <c r="A810" s="239"/>
      <c r="B810" s="239"/>
      <c r="C810" s="239"/>
      <c r="D810" s="239"/>
      <c r="E810" s="239"/>
      <c r="F810" s="239"/>
      <c r="G810" s="239"/>
      <c r="H810" s="239"/>
    </row>
    <row r="811" spans="1:8" ht="18" customHeight="1">
      <c r="A811" s="239"/>
      <c r="B811" s="239"/>
      <c r="C811" s="239"/>
      <c r="D811" s="239"/>
      <c r="E811" s="239"/>
      <c r="F811" s="239"/>
      <c r="G811" s="239"/>
      <c r="H811" s="239"/>
    </row>
    <row r="812" spans="1:8" ht="18" customHeight="1">
      <c r="A812" s="239"/>
      <c r="B812" s="239"/>
      <c r="C812" s="239"/>
      <c r="D812" s="239"/>
      <c r="E812" s="239"/>
      <c r="F812" s="239"/>
      <c r="G812" s="239"/>
      <c r="H812" s="239"/>
    </row>
    <row r="813" spans="1:8" ht="18" customHeight="1">
      <c r="A813" s="239"/>
      <c r="B813" s="239"/>
      <c r="C813" s="239"/>
      <c r="D813" s="239"/>
      <c r="E813" s="239"/>
      <c r="F813" s="239"/>
      <c r="G813" s="239"/>
      <c r="H813" s="239"/>
    </row>
    <row r="814" spans="1:8" ht="18" customHeight="1">
      <c r="A814" s="239"/>
      <c r="B814" s="239"/>
      <c r="C814" s="239"/>
      <c r="D814" s="239"/>
      <c r="E814" s="239"/>
      <c r="F814" s="239"/>
      <c r="G814" s="239"/>
      <c r="H814" s="239"/>
    </row>
    <row r="815" spans="1:8" ht="18" customHeight="1">
      <c r="A815" s="239"/>
      <c r="B815" s="239"/>
      <c r="C815" s="239"/>
      <c r="D815" s="239"/>
      <c r="E815" s="239"/>
      <c r="F815" s="239"/>
      <c r="G815" s="239"/>
      <c r="H815" s="239"/>
    </row>
    <row r="816" spans="1:8" ht="18" customHeight="1">
      <c r="A816" s="239"/>
      <c r="B816" s="239"/>
      <c r="C816" s="239"/>
      <c r="D816" s="239"/>
      <c r="E816" s="239"/>
      <c r="F816" s="239"/>
      <c r="G816" s="239"/>
      <c r="H816" s="239"/>
    </row>
    <row r="817" spans="1:8" ht="18" customHeight="1">
      <c r="A817" s="239"/>
      <c r="B817" s="239"/>
      <c r="C817" s="239"/>
      <c r="D817" s="239"/>
      <c r="E817" s="239"/>
      <c r="F817" s="239"/>
      <c r="G817" s="239"/>
      <c r="H817" s="239"/>
    </row>
    <row r="818" spans="1:8" ht="18" customHeight="1">
      <c r="A818" s="239"/>
      <c r="B818" s="239"/>
      <c r="C818" s="239"/>
      <c r="D818" s="239"/>
      <c r="E818" s="239"/>
      <c r="F818" s="239"/>
      <c r="G818" s="239"/>
      <c r="H818" s="239"/>
    </row>
    <row r="819" spans="1:8" ht="18" customHeight="1">
      <c r="A819" s="239"/>
      <c r="B819" s="239"/>
      <c r="C819" s="239"/>
      <c r="D819" s="239"/>
      <c r="E819" s="239"/>
      <c r="F819" s="239"/>
      <c r="G819" s="239"/>
      <c r="H819" s="239"/>
    </row>
    <row r="820" spans="1:8" ht="18" customHeight="1">
      <c r="A820" s="239"/>
      <c r="B820" s="239"/>
      <c r="C820" s="239"/>
      <c r="D820" s="239"/>
      <c r="E820" s="239"/>
      <c r="F820" s="239"/>
      <c r="G820" s="239"/>
      <c r="H820" s="239"/>
    </row>
    <row r="821" spans="1:8" ht="18" customHeight="1">
      <c r="A821" s="239"/>
      <c r="B821" s="239"/>
      <c r="C821" s="239"/>
      <c r="D821" s="239"/>
      <c r="E821" s="239"/>
      <c r="F821" s="239"/>
      <c r="G821" s="239"/>
      <c r="H821" s="239"/>
    </row>
    <row r="822" spans="1:8" ht="18" customHeight="1">
      <c r="A822" s="239"/>
      <c r="B822" s="239"/>
      <c r="C822" s="239"/>
      <c r="D822" s="239"/>
      <c r="E822" s="239"/>
      <c r="F822" s="239"/>
      <c r="G822" s="239"/>
      <c r="H822" s="239"/>
    </row>
    <row r="823" spans="1:8" ht="18" customHeight="1">
      <c r="A823" s="239"/>
      <c r="B823" s="239"/>
      <c r="C823" s="239"/>
      <c r="D823" s="239"/>
      <c r="E823" s="239"/>
      <c r="F823" s="239"/>
      <c r="G823" s="239"/>
      <c r="H823" s="239"/>
    </row>
    <row r="824" spans="1:8" ht="18" customHeight="1">
      <c r="A824" s="239"/>
      <c r="B824" s="239"/>
      <c r="C824" s="239"/>
      <c r="D824" s="239"/>
      <c r="E824" s="239"/>
      <c r="F824" s="239"/>
      <c r="G824" s="239"/>
      <c r="H824" s="239"/>
    </row>
    <row r="825" spans="1:8" ht="18" customHeight="1">
      <c r="A825" s="239"/>
      <c r="B825" s="239"/>
      <c r="C825" s="239"/>
      <c r="D825" s="239"/>
      <c r="E825" s="239"/>
      <c r="F825" s="239"/>
      <c r="G825" s="239"/>
      <c r="H825" s="239"/>
    </row>
    <row r="826" spans="1:8" ht="18" customHeight="1">
      <c r="A826" s="239"/>
      <c r="B826" s="239"/>
      <c r="C826" s="239"/>
      <c r="D826" s="239"/>
      <c r="E826" s="239"/>
      <c r="F826" s="239"/>
      <c r="G826" s="239"/>
      <c r="H826" s="239"/>
    </row>
    <row r="827" spans="1:8" ht="18" customHeight="1">
      <c r="A827" s="239"/>
      <c r="B827" s="239"/>
      <c r="C827" s="239"/>
      <c r="D827" s="239"/>
      <c r="E827" s="239"/>
      <c r="F827" s="239"/>
      <c r="G827" s="239"/>
      <c r="H827" s="239"/>
    </row>
    <row r="828" spans="1:8" ht="18" customHeight="1">
      <c r="A828" s="239"/>
      <c r="B828" s="239"/>
      <c r="C828" s="239"/>
      <c r="D828" s="239"/>
      <c r="E828" s="239"/>
      <c r="F828" s="239"/>
      <c r="G828" s="239"/>
      <c r="H828" s="239"/>
    </row>
    <row r="829" spans="1:8" ht="18" customHeight="1">
      <c r="A829" s="239"/>
      <c r="B829" s="239"/>
      <c r="C829" s="239"/>
      <c r="D829" s="239"/>
      <c r="E829" s="239"/>
      <c r="F829" s="239"/>
      <c r="G829" s="239"/>
      <c r="H829" s="239"/>
    </row>
    <row r="830" spans="1:8" ht="18" customHeight="1">
      <c r="A830" s="239"/>
      <c r="B830" s="239"/>
      <c r="C830" s="239"/>
      <c r="D830" s="239"/>
      <c r="E830" s="239"/>
      <c r="F830" s="239"/>
      <c r="G830" s="239"/>
      <c r="H830" s="239"/>
    </row>
    <row r="831" spans="1:8" ht="18" customHeight="1">
      <c r="A831" s="239"/>
      <c r="B831" s="239"/>
      <c r="C831" s="239"/>
      <c r="D831" s="239"/>
      <c r="E831" s="239"/>
      <c r="F831" s="239"/>
      <c r="G831" s="239"/>
      <c r="H831" s="239"/>
    </row>
    <row r="832" spans="1:8" ht="18" customHeight="1">
      <c r="A832" s="239"/>
      <c r="B832" s="239"/>
      <c r="C832" s="239"/>
      <c r="D832" s="239"/>
      <c r="E832" s="239"/>
      <c r="F832" s="239"/>
      <c r="G832" s="239"/>
      <c r="H832" s="239"/>
    </row>
    <row r="833" spans="1:8" ht="18" customHeight="1">
      <c r="A833" s="239"/>
      <c r="B833" s="239"/>
      <c r="C833" s="239"/>
      <c r="D833" s="239"/>
      <c r="E833" s="239"/>
      <c r="F833" s="239"/>
      <c r="G833" s="239"/>
      <c r="H833" s="239"/>
    </row>
    <row r="834" spans="1:8" ht="18" customHeight="1">
      <c r="A834" s="239"/>
      <c r="B834" s="239"/>
      <c r="C834" s="239"/>
      <c r="D834" s="239"/>
      <c r="E834" s="239"/>
      <c r="F834" s="239"/>
      <c r="G834" s="239"/>
      <c r="H834" s="239"/>
    </row>
    <row r="835" spans="1:8" ht="18" customHeight="1">
      <c r="A835" s="239"/>
      <c r="B835" s="239"/>
      <c r="C835" s="239"/>
      <c r="D835" s="239"/>
      <c r="E835" s="239"/>
      <c r="F835" s="239"/>
      <c r="G835" s="239"/>
      <c r="H835" s="239"/>
    </row>
    <row r="836" spans="1:8" ht="18" customHeight="1">
      <c r="A836" s="239"/>
      <c r="B836" s="239"/>
      <c r="C836" s="239"/>
      <c r="D836" s="239"/>
      <c r="E836" s="239"/>
      <c r="F836" s="239"/>
      <c r="G836" s="239"/>
      <c r="H836" s="239"/>
    </row>
    <row r="837" spans="1:8" ht="18" customHeight="1">
      <c r="A837" s="239"/>
      <c r="B837" s="239"/>
      <c r="C837" s="239"/>
      <c r="D837" s="239"/>
      <c r="E837" s="239"/>
      <c r="F837" s="239"/>
      <c r="G837" s="239"/>
      <c r="H837" s="239"/>
    </row>
    <row r="838" spans="1:8" ht="18" customHeight="1">
      <c r="A838" s="239"/>
      <c r="B838" s="239"/>
      <c r="C838" s="239"/>
      <c r="D838" s="239"/>
      <c r="E838" s="239"/>
      <c r="F838" s="239"/>
      <c r="G838" s="239"/>
      <c r="H838" s="239"/>
    </row>
    <row r="839" spans="1:8" ht="18" customHeight="1">
      <c r="A839" s="239"/>
      <c r="B839" s="239"/>
      <c r="C839" s="239"/>
      <c r="D839" s="239"/>
      <c r="E839" s="239"/>
      <c r="F839" s="239"/>
      <c r="G839" s="239"/>
      <c r="H839" s="239"/>
    </row>
    <row r="840" spans="1:8" ht="18" customHeight="1">
      <c r="A840" s="239"/>
      <c r="B840" s="239"/>
      <c r="C840" s="239"/>
      <c r="D840" s="239"/>
      <c r="E840" s="239"/>
      <c r="F840" s="239"/>
      <c r="G840" s="239"/>
      <c r="H840" s="239"/>
    </row>
    <row r="841" spans="1:8" ht="18" customHeight="1">
      <c r="A841" s="239"/>
      <c r="B841" s="239"/>
      <c r="C841" s="239"/>
      <c r="D841" s="239"/>
      <c r="E841" s="239"/>
      <c r="F841" s="239"/>
      <c r="G841" s="239"/>
      <c r="H841" s="239"/>
    </row>
    <row r="842" spans="1:8" ht="18" customHeight="1">
      <c r="A842" s="239"/>
      <c r="B842" s="239"/>
      <c r="C842" s="239"/>
      <c r="D842" s="239"/>
      <c r="E842" s="239"/>
      <c r="F842" s="239"/>
      <c r="G842" s="239"/>
      <c r="H842" s="239"/>
    </row>
    <row r="843" spans="1:8" ht="18" customHeight="1">
      <c r="A843" s="239"/>
      <c r="B843" s="239"/>
      <c r="C843" s="239"/>
      <c r="D843" s="239"/>
      <c r="E843" s="239"/>
      <c r="F843" s="239"/>
      <c r="G843" s="239"/>
      <c r="H843" s="239"/>
    </row>
    <row r="844" spans="1:8" ht="18" customHeight="1">
      <c r="A844" s="239"/>
      <c r="B844" s="239"/>
      <c r="C844" s="239"/>
      <c r="D844" s="239"/>
      <c r="E844" s="239"/>
      <c r="F844" s="239"/>
      <c r="G844" s="239"/>
      <c r="H844" s="239"/>
    </row>
    <row r="845" spans="1:8" ht="18" customHeight="1">
      <c r="A845" s="239"/>
      <c r="B845" s="239"/>
      <c r="C845" s="239"/>
      <c r="D845" s="239"/>
      <c r="E845" s="239"/>
      <c r="F845" s="239"/>
      <c r="G845" s="239"/>
      <c r="H845" s="239"/>
    </row>
    <row r="846" spans="1:8" ht="18" customHeight="1">
      <c r="A846" s="239"/>
      <c r="B846" s="239"/>
      <c r="C846" s="239"/>
      <c r="D846" s="239"/>
      <c r="E846" s="239"/>
      <c r="F846" s="239"/>
      <c r="G846" s="239"/>
      <c r="H846" s="239"/>
    </row>
    <row r="847" spans="1:8" ht="18" customHeight="1">
      <c r="A847" s="239"/>
      <c r="B847" s="239"/>
      <c r="C847" s="239"/>
      <c r="D847" s="239"/>
      <c r="E847" s="239"/>
      <c r="F847" s="239"/>
      <c r="G847" s="239"/>
      <c r="H847" s="239"/>
    </row>
    <row r="848" spans="1:8" ht="18" customHeight="1">
      <c r="A848" s="239"/>
      <c r="B848" s="239"/>
      <c r="C848" s="239"/>
      <c r="D848" s="239"/>
      <c r="E848" s="239"/>
      <c r="F848" s="239"/>
      <c r="G848" s="239"/>
      <c r="H848" s="239"/>
    </row>
    <row r="849" spans="1:8" ht="18" customHeight="1">
      <c r="A849" s="239"/>
      <c r="B849" s="239"/>
      <c r="C849" s="239"/>
      <c r="D849" s="239"/>
      <c r="E849" s="239"/>
      <c r="F849" s="239"/>
      <c r="G849" s="239"/>
      <c r="H849" s="239"/>
    </row>
    <row r="850" spans="1:8" ht="18" customHeight="1">
      <c r="A850" s="239"/>
      <c r="B850" s="239"/>
      <c r="C850" s="239"/>
      <c r="D850" s="239"/>
      <c r="E850" s="239"/>
      <c r="F850" s="239"/>
      <c r="G850" s="239"/>
      <c r="H850" s="239"/>
    </row>
    <row r="851" spans="1:8" ht="18" customHeight="1">
      <c r="A851" s="239"/>
      <c r="B851" s="239"/>
      <c r="C851" s="239"/>
      <c r="D851" s="239"/>
      <c r="E851" s="239"/>
      <c r="F851" s="239"/>
      <c r="G851" s="239"/>
      <c r="H851" s="239"/>
    </row>
    <row r="852" spans="1:8" ht="18" customHeight="1">
      <c r="A852" s="239"/>
      <c r="B852" s="239"/>
      <c r="C852" s="239"/>
      <c r="D852" s="239"/>
      <c r="E852" s="239"/>
      <c r="F852" s="239"/>
      <c r="G852" s="239"/>
      <c r="H852" s="239"/>
    </row>
    <row r="853" spans="1:8" ht="18" customHeight="1">
      <c r="A853" s="239"/>
      <c r="B853" s="239"/>
      <c r="C853" s="239"/>
      <c r="D853" s="239"/>
      <c r="E853" s="239"/>
      <c r="F853" s="239"/>
      <c r="G853" s="239"/>
      <c r="H853" s="239"/>
    </row>
    <row r="854" spans="1:8" ht="18" customHeight="1">
      <c r="A854" s="239"/>
      <c r="B854" s="239"/>
      <c r="C854" s="239"/>
      <c r="D854" s="239"/>
      <c r="E854" s="239"/>
      <c r="F854" s="239"/>
      <c r="G854" s="239"/>
      <c r="H854" s="239"/>
    </row>
    <row r="855" spans="1:8" ht="18" customHeight="1">
      <c r="A855" s="239"/>
      <c r="B855" s="239"/>
      <c r="C855" s="239"/>
      <c r="D855" s="239"/>
      <c r="E855" s="239"/>
      <c r="F855" s="239"/>
      <c r="G855" s="239"/>
      <c r="H855" s="239"/>
    </row>
    <row r="856" spans="1:8" ht="18" customHeight="1">
      <c r="A856" s="239"/>
      <c r="B856" s="239"/>
      <c r="C856" s="239"/>
      <c r="D856" s="239"/>
      <c r="E856" s="239"/>
      <c r="F856" s="239"/>
      <c r="G856" s="239"/>
      <c r="H856" s="239"/>
    </row>
    <row r="857" spans="1:8" ht="18" customHeight="1">
      <c r="A857" s="239"/>
      <c r="B857" s="239"/>
      <c r="C857" s="239"/>
      <c r="D857" s="239"/>
      <c r="E857" s="239"/>
      <c r="F857" s="239"/>
      <c r="G857" s="239"/>
      <c r="H857" s="239"/>
    </row>
    <row r="858" spans="1:8" ht="18" customHeight="1">
      <c r="A858" s="239"/>
      <c r="B858" s="239"/>
      <c r="C858" s="239"/>
      <c r="D858" s="239"/>
      <c r="E858" s="239"/>
      <c r="F858" s="239"/>
      <c r="G858" s="239"/>
      <c r="H858" s="239"/>
    </row>
    <row r="859" spans="1:8" ht="18" customHeight="1">
      <c r="A859" s="239"/>
      <c r="B859" s="239"/>
      <c r="C859" s="239"/>
      <c r="D859" s="239"/>
      <c r="E859" s="239"/>
      <c r="F859" s="239"/>
      <c r="G859" s="239"/>
      <c r="H859" s="239"/>
    </row>
    <row r="860" spans="1:8" ht="18" customHeight="1">
      <c r="A860" s="239"/>
      <c r="B860" s="239"/>
      <c r="C860" s="239"/>
      <c r="D860" s="239"/>
      <c r="E860" s="239"/>
      <c r="F860" s="239"/>
      <c r="G860" s="239"/>
      <c r="H860" s="239"/>
    </row>
    <row r="861" spans="1:8" ht="18" customHeight="1">
      <c r="A861" s="239"/>
      <c r="B861" s="239"/>
      <c r="C861" s="239"/>
      <c r="D861" s="239"/>
      <c r="E861" s="239"/>
      <c r="F861" s="239"/>
      <c r="G861" s="239"/>
      <c r="H861" s="239"/>
    </row>
    <row r="862" spans="1:8" ht="18" customHeight="1">
      <c r="A862" s="239"/>
      <c r="B862" s="239"/>
      <c r="C862" s="239"/>
      <c r="D862" s="239"/>
      <c r="E862" s="239"/>
      <c r="F862" s="239"/>
      <c r="G862" s="239"/>
      <c r="H862" s="239"/>
    </row>
    <row r="863" spans="1:8" ht="18" customHeight="1">
      <c r="A863" s="239"/>
      <c r="B863" s="239"/>
      <c r="C863" s="239"/>
      <c r="D863" s="239"/>
      <c r="E863" s="239"/>
      <c r="F863" s="239"/>
      <c r="G863" s="239"/>
      <c r="H863" s="239"/>
    </row>
    <row r="864" spans="1:8" ht="18" customHeight="1">
      <c r="A864" s="239"/>
      <c r="B864" s="239"/>
      <c r="C864" s="239"/>
      <c r="D864" s="239"/>
      <c r="E864" s="239"/>
      <c r="F864" s="239"/>
      <c r="G864" s="239"/>
      <c r="H864" s="239"/>
    </row>
    <row r="865" spans="1:8" ht="18" customHeight="1">
      <c r="A865" s="239"/>
      <c r="B865" s="239"/>
      <c r="C865" s="239"/>
      <c r="D865" s="239"/>
      <c r="E865" s="239"/>
      <c r="F865" s="239"/>
      <c r="G865" s="239"/>
      <c r="H865" s="239"/>
    </row>
    <row r="866" spans="1:8" ht="18" customHeight="1">
      <c r="A866" s="239"/>
      <c r="B866" s="239"/>
      <c r="C866" s="239"/>
      <c r="D866" s="239"/>
      <c r="E866" s="239"/>
      <c r="F866" s="239"/>
      <c r="G866" s="239"/>
      <c r="H866" s="239"/>
    </row>
    <row r="867" spans="1:8" ht="18" customHeight="1">
      <c r="A867" s="239"/>
      <c r="B867" s="239"/>
      <c r="C867" s="239"/>
      <c r="D867" s="239"/>
      <c r="E867" s="239"/>
      <c r="F867" s="239"/>
      <c r="G867" s="239"/>
      <c r="H867" s="239"/>
    </row>
    <row r="868" spans="1:8" ht="18" customHeight="1">
      <c r="A868" s="239"/>
      <c r="B868" s="239"/>
      <c r="C868" s="239"/>
      <c r="D868" s="239"/>
      <c r="E868" s="239"/>
      <c r="F868" s="239"/>
      <c r="G868" s="239"/>
      <c r="H868" s="239"/>
    </row>
    <row r="869" spans="1:8" ht="18" customHeight="1">
      <c r="A869" s="239"/>
      <c r="B869" s="239"/>
      <c r="C869" s="239"/>
      <c r="D869" s="239"/>
      <c r="E869" s="239"/>
      <c r="F869" s="239"/>
      <c r="G869" s="239"/>
      <c r="H869" s="239"/>
    </row>
    <row r="870" spans="1:8" ht="18" customHeight="1">
      <c r="A870" s="239"/>
      <c r="B870" s="239"/>
      <c r="C870" s="239"/>
      <c r="D870" s="239"/>
      <c r="E870" s="239"/>
      <c r="F870" s="239"/>
      <c r="G870" s="239"/>
      <c r="H870" s="239"/>
    </row>
    <row r="871" spans="1:8" ht="18" customHeight="1">
      <c r="A871" s="239"/>
      <c r="B871" s="239"/>
      <c r="C871" s="239"/>
      <c r="D871" s="239"/>
      <c r="E871" s="239"/>
      <c r="F871" s="239"/>
      <c r="G871" s="239"/>
      <c r="H871" s="239"/>
    </row>
    <row r="872" spans="1:8" ht="18" customHeight="1">
      <c r="A872" s="239"/>
      <c r="B872" s="239"/>
      <c r="C872" s="239"/>
      <c r="D872" s="239"/>
      <c r="E872" s="239"/>
      <c r="F872" s="239"/>
      <c r="G872" s="239"/>
      <c r="H872" s="239"/>
    </row>
    <row r="873" spans="1:8" ht="18" customHeight="1">
      <c r="A873" s="239"/>
      <c r="B873" s="239"/>
      <c r="C873" s="239"/>
      <c r="D873" s="239"/>
      <c r="E873" s="239"/>
      <c r="F873" s="239"/>
      <c r="G873" s="239"/>
      <c r="H873" s="239"/>
    </row>
    <row r="874" spans="1:8" ht="18" customHeight="1">
      <c r="A874" s="239"/>
      <c r="B874" s="239"/>
      <c r="C874" s="239"/>
      <c r="D874" s="239"/>
      <c r="E874" s="239"/>
      <c r="F874" s="239"/>
      <c r="G874" s="239"/>
      <c r="H874" s="239"/>
    </row>
    <row r="875" spans="1:8" ht="18" customHeight="1">
      <c r="A875" s="239"/>
      <c r="B875" s="239"/>
      <c r="C875" s="239"/>
      <c r="D875" s="239"/>
      <c r="E875" s="239"/>
      <c r="F875" s="239"/>
      <c r="G875" s="239"/>
      <c r="H875" s="239"/>
    </row>
    <row r="876" spans="1:8" ht="18" customHeight="1">
      <c r="A876" s="239"/>
      <c r="B876" s="239"/>
      <c r="C876" s="239"/>
      <c r="D876" s="239"/>
      <c r="E876" s="239"/>
      <c r="F876" s="239"/>
      <c r="G876" s="239"/>
      <c r="H876" s="239"/>
    </row>
    <row r="877" spans="1:8" ht="18" customHeight="1">
      <c r="A877" s="239"/>
      <c r="B877" s="239"/>
      <c r="C877" s="239"/>
      <c r="D877" s="239"/>
      <c r="E877" s="239"/>
      <c r="F877" s="239"/>
      <c r="G877" s="239"/>
      <c r="H877" s="239"/>
    </row>
    <row r="878" spans="1:8" ht="18" customHeight="1">
      <c r="A878" s="239"/>
      <c r="B878" s="239"/>
      <c r="C878" s="239"/>
      <c r="D878" s="239"/>
      <c r="E878" s="239"/>
      <c r="F878" s="239"/>
      <c r="G878" s="239"/>
      <c r="H878" s="239"/>
    </row>
    <row r="879" spans="1:8" ht="18" customHeight="1">
      <c r="A879" s="239"/>
      <c r="B879" s="239"/>
      <c r="C879" s="239"/>
      <c r="D879" s="239"/>
      <c r="E879" s="239"/>
      <c r="F879" s="239"/>
      <c r="G879" s="239"/>
      <c r="H879" s="239"/>
    </row>
    <row r="880" spans="1:8" ht="18" customHeight="1">
      <c r="A880" s="239"/>
      <c r="B880" s="239"/>
      <c r="C880" s="239"/>
      <c r="D880" s="239"/>
      <c r="E880" s="239"/>
      <c r="F880" s="239"/>
      <c r="G880" s="239"/>
      <c r="H880" s="239"/>
    </row>
    <row r="881" spans="1:8" ht="18" customHeight="1">
      <c r="A881" s="239"/>
      <c r="B881" s="239"/>
      <c r="C881" s="239"/>
      <c r="D881" s="239"/>
      <c r="E881" s="239"/>
      <c r="F881" s="239"/>
      <c r="G881" s="239"/>
      <c r="H881" s="239"/>
    </row>
    <row r="882" spans="1:8" ht="18" customHeight="1">
      <c r="A882" s="239"/>
      <c r="B882" s="239"/>
      <c r="C882" s="239"/>
      <c r="D882" s="239"/>
      <c r="E882" s="239"/>
      <c r="F882" s="239"/>
      <c r="G882" s="239"/>
      <c r="H882" s="239"/>
    </row>
    <row r="883" spans="1:8" ht="18" customHeight="1">
      <c r="A883" s="239"/>
      <c r="B883" s="239"/>
      <c r="C883" s="239"/>
      <c r="D883" s="239"/>
      <c r="E883" s="239"/>
      <c r="F883" s="239"/>
      <c r="G883" s="239"/>
      <c r="H883" s="239"/>
    </row>
    <row r="884" spans="1:8" ht="18" customHeight="1">
      <c r="A884" s="239"/>
      <c r="B884" s="239"/>
      <c r="C884" s="239"/>
      <c r="D884" s="239"/>
      <c r="E884" s="239"/>
      <c r="F884" s="239"/>
      <c r="G884" s="239"/>
      <c r="H884" s="239"/>
    </row>
    <row r="885" spans="1:8" ht="18" customHeight="1">
      <c r="A885" s="239"/>
      <c r="B885" s="239"/>
      <c r="C885" s="239"/>
      <c r="D885" s="239"/>
      <c r="E885" s="239"/>
      <c r="F885" s="239"/>
      <c r="G885" s="239"/>
      <c r="H885" s="239"/>
    </row>
    <row r="886" spans="1:8" ht="18" customHeight="1">
      <c r="A886" s="239"/>
      <c r="B886" s="239"/>
      <c r="C886" s="239"/>
      <c r="D886" s="239"/>
      <c r="E886" s="239"/>
      <c r="F886" s="239"/>
      <c r="G886" s="239"/>
      <c r="H886" s="239"/>
    </row>
    <row r="887" spans="1:8" ht="18" customHeight="1">
      <c r="A887" s="239"/>
      <c r="B887" s="239"/>
      <c r="C887" s="239"/>
      <c r="D887" s="239"/>
      <c r="E887" s="239"/>
      <c r="F887" s="239"/>
      <c r="G887" s="239"/>
      <c r="H887" s="239"/>
    </row>
    <row r="888" spans="1:8" ht="18" customHeight="1">
      <c r="A888" s="239"/>
      <c r="B888" s="239"/>
      <c r="C888" s="239"/>
      <c r="D888" s="239"/>
      <c r="E888" s="239"/>
      <c r="F888" s="239"/>
      <c r="G888" s="239"/>
      <c r="H888" s="239"/>
    </row>
    <row r="889" spans="1:8" ht="18" customHeight="1">
      <c r="A889" s="239"/>
      <c r="B889" s="239"/>
      <c r="C889" s="239"/>
      <c r="D889" s="239"/>
      <c r="E889" s="239"/>
      <c r="F889" s="239"/>
      <c r="G889" s="239"/>
      <c r="H889" s="239"/>
    </row>
    <row r="890" spans="1:8" ht="18" customHeight="1">
      <c r="A890" s="239"/>
      <c r="B890" s="239"/>
      <c r="C890" s="239"/>
      <c r="D890" s="239"/>
      <c r="E890" s="239"/>
      <c r="F890" s="239"/>
      <c r="G890" s="239"/>
      <c r="H890" s="239"/>
    </row>
    <row r="891" spans="1:8" ht="18" customHeight="1">
      <c r="A891" s="239"/>
      <c r="B891" s="239"/>
      <c r="C891" s="239"/>
      <c r="D891" s="239"/>
      <c r="E891" s="239"/>
      <c r="F891" s="239"/>
      <c r="G891" s="239"/>
      <c r="H891" s="239"/>
    </row>
    <row r="892" spans="1:8" ht="18" customHeight="1">
      <c r="A892" s="239"/>
      <c r="B892" s="239"/>
      <c r="C892" s="239"/>
      <c r="D892" s="239"/>
      <c r="E892" s="239"/>
      <c r="F892" s="239"/>
      <c r="G892" s="239"/>
      <c r="H892" s="239"/>
    </row>
    <row r="893" spans="1:8" ht="18" customHeight="1">
      <c r="A893" s="239"/>
      <c r="B893" s="239"/>
      <c r="C893" s="239"/>
      <c r="D893" s="239"/>
      <c r="E893" s="239"/>
      <c r="F893" s="239"/>
      <c r="G893" s="239"/>
      <c r="H893" s="239"/>
    </row>
    <row r="894" spans="1:8" ht="18" customHeight="1">
      <c r="A894" s="239"/>
      <c r="B894" s="239"/>
      <c r="C894" s="239"/>
      <c r="D894" s="239"/>
      <c r="E894" s="239"/>
      <c r="F894" s="239"/>
      <c r="G894" s="239"/>
      <c r="H894" s="239"/>
    </row>
    <row r="895" spans="1:8" ht="18" customHeight="1">
      <c r="A895" s="239"/>
      <c r="B895" s="239"/>
      <c r="C895" s="239"/>
      <c r="D895" s="239"/>
      <c r="E895" s="239"/>
      <c r="F895" s="239"/>
      <c r="G895" s="239"/>
      <c r="H895" s="239"/>
    </row>
    <row r="896" spans="1:8" ht="18" customHeight="1">
      <c r="A896" s="239"/>
      <c r="B896" s="239"/>
      <c r="C896" s="239"/>
      <c r="D896" s="239"/>
      <c r="E896" s="239"/>
      <c r="F896" s="239"/>
      <c r="G896" s="239"/>
      <c r="H896" s="239"/>
    </row>
    <row r="897" spans="1:8" ht="18" customHeight="1">
      <c r="A897" s="239"/>
      <c r="B897" s="239"/>
      <c r="C897" s="239"/>
      <c r="D897" s="239"/>
      <c r="E897" s="239"/>
      <c r="F897" s="239"/>
      <c r="G897" s="239"/>
      <c r="H897" s="239"/>
    </row>
    <row r="898" spans="1:8" ht="18" customHeight="1">
      <c r="A898" s="239"/>
      <c r="B898" s="239"/>
      <c r="C898" s="239"/>
      <c r="D898" s="239"/>
      <c r="E898" s="239"/>
      <c r="F898" s="239"/>
      <c r="G898" s="239"/>
      <c r="H898" s="239"/>
    </row>
    <row r="899" spans="1:8" ht="18" customHeight="1">
      <c r="A899" s="239"/>
      <c r="B899" s="239"/>
      <c r="C899" s="239"/>
      <c r="D899" s="239"/>
      <c r="E899" s="239"/>
      <c r="F899" s="239"/>
      <c r="G899" s="239"/>
      <c r="H899" s="239"/>
    </row>
    <row r="900" spans="1:8" ht="18" customHeight="1">
      <c r="A900" s="239"/>
      <c r="B900" s="239"/>
      <c r="C900" s="239"/>
      <c r="D900" s="239"/>
      <c r="E900" s="239"/>
      <c r="F900" s="239"/>
      <c r="G900" s="239"/>
      <c r="H900" s="239"/>
    </row>
    <row r="901" spans="1:8" ht="18" customHeight="1">
      <c r="A901" s="239"/>
      <c r="B901" s="239"/>
      <c r="C901" s="239"/>
      <c r="D901" s="239"/>
      <c r="E901" s="239"/>
      <c r="F901" s="239"/>
      <c r="G901" s="239"/>
      <c r="H901" s="239"/>
    </row>
    <row r="902" spans="1:8" ht="18" customHeight="1">
      <c r="A902" s="239"/>
      <c r="B902" s="239"/>
      <c r="C902" s="239"/>
      <c r="D902" s="239"/>
      <c r="E902" s="239"/>
      <c r="F902" s="239"/>
      <c r="G902" s="239"/>
      <c r="H902" s="239"/>
    </row>
    <row r="903" spans="1:8" ht="18" customHeight="1">
      <c r="A903" s="239"/>
      <c r="B903" s="239"/>
      <c r="C903" s="239"/>
      <c r="D903" s="239"/>
      <c r="E903" s="239"/>
      <c r="F903" s="239"/>
      <c r="G903" s="239"/>
      <c r="H903" s="239"/>
    </row>
    <row r="904" spans="1:8" ht="18" customHeight="1">
      <c r="A904" s="239"/>
      <c r="B904" s="239"/>
      <c r="C904" s="239"/>
      <c r="D904" s="239"/>
      <c r="E904" s="239"/>
      <c r="F904" s="239"/>
      <c r="G904" s="239"/>
      <c r="H904" s="239"/>
    </row>
    <row r="905" spans="1:8" ht="18" customHeight="1">
      <c r="A905" s="239"/>
      <c r="B905" s="239"/>
      <c r="C905" s="239"/>
      <c r="D905" s="239"/>
      <c r="E905" s="239"/>
      <c r="F905" s="239"/>
      <c r="G905" s="239"/>
      <c r="H905" s="239"/>
    </row>
    <row r="906" spans="1:8" ht="18" customHeight="1">
      <c r="A906" s="239"/>
      <c r="B906" s="239"/>
      <c r="C906" s="239"/>
      <c r="D906" s="239"/>
      <c r="E906" s="239"/>
      <c r="F906" s="239"/>
      <c r="G906" s="239"/>
      <c r="H906" s="239"/>
    </row>
    <row r="907" spans="1:8" ht="18" customHeight="1">
      <c r="A907" s="239"/>
      <c r="B907" s="239"/>
      <c r="C907" s="239"/>
      <c r="D907" s="239"/>
      <c r="E907" s="239"/>
      <c r="F907" s="239"/>
      <c r="G907" s="239"/>
      <c r="H907" s="239"/>
    </row>
    <row r="908" spans="1:8" ht="18" customHeight="1">
      <c r="A908" s="239"/>
      <c r="B908" s="239"/>
      <c r="C908" s="239"/>
      <c r="D908" s="239"/>
      <c r="E908" s="239"/>
      <c r="F908" s="239"/>
      <c r="G908" s="239"/>
      <c r="H908" s="239"/>
    </row>
    <row r="909" spans="1:8" ht="18" customHeight="1">
      <c r="A909" s="239"/>
      <c r="B909" s="239"/>
      <c r="C909" s="239"/>
      <c r="D909" s="239"/>
      <c r="E909" s="239"/>
      <c r="F909" s="239"/>
      <c r="G909" s="239"/>
      <c r="H909" s="239"/>
    </row>
    <row r="910" spans="1:8" ht="18" customHeight="1">
      <c r="A910" s="239"/>
      <c r="B910" s="239"/>
      <c r="C910" s="239"/>
      <c r="D910" s="239"/>
      <c r="E910" s="239"/>
      <c r="F910" s="239"/>
      <c r="G910" s="239"/>
      <c r="H910" s="239"/>
    </row>
    <row r="911" spans="1:8" ht="18" customHeight="1">
      <c r="A911" s="239"/>
      <c r="B911" s="239"/>
      <c r="C911" s="239"/>
      <c r="D911" s="239"/>
      <c r="E911" s="239"/>
      <c r="F911" s="239"/>
      <c r="G911" s="239"/>
      <c r="H911" s="239"/>
    </row>
    <row r="912" spans="1:8" ht="18" customHeight="1">
      <c r="A912" s="239"/>
      <c r="B912" s="239"/>
      <c r="C912" s="239"/>
      <c r="D912" s="239"/>
      <c r="E912" s="239"/>
      <c r="F912" s="239"/>
      <c r="G912" s="239"/>
      <c r="H912" s="239"/>
    </row>
    <row r="913" spans="1:8" ht="18" customHeight="1">
      <c r="A913" s="239"/>
      <c r="B913" s="239"/>
      <c r="C913" s="239"/>
      <c r="D913" s="239"/>
      <c r="E913" s="239"/>
      <c r="F913" s="239"/>
      <c r="G913" s="239"/>
      <c r="H913" s="239"/>
    </row>
    <row r="914" spans="1:8" ht="18" customHeight="1">
      <c r="A914" s="239"/>
      <c r="B914" s="239"/>
      <c r="C914" s="239"/>
      <c r="D914" s="239"/>
      <c r="E914" s="239"/>
      <c r="F914" s="239"/>
      <c r="G914" s="239"/>
      <c r="H914" s="239"/>
    </row>
    <row r="915" spans="1:8" ht="18" customHeight="1">
      <c r="A915" s="239"/>
      <c r="B915" s="239"/>
      <c r="C915" s="239"/>
      <c r="D915" s="239"/>
      <c r="E915" s="239"/>
      <c r="F915" s="239"/>
      <c r="G915" s="239"/>
      <c r="H915" s="239"/>
    </row>
    <row r="916" spans="1:8" ht="18" customHeight="1">
      <c r="A916" s="239"/>
      <c r="B916" s="239"/>
      <c r="C916" s="239"/>
      <c r="D916" s="239"/>
      <c r="E916" s="239"/>
      <c r="F916" s="239"/>
      <c r="G916" s="239"/>
      <c r="H916" s="239"/>
    </row>
    <row r="917" spans="1:8" ht="18" customHeight="1">
      <c r="A917" s="239"/>
      <c r="B917" s="239"/>
      <c r="C917" s="239"/>
      <c r="D917" s="239"/>
      <c r="E917" s="239"/>
      <c r="F917" s="239"/>
      <c r="G917" s="239"/>
      <c r="H917" s="239"/>
    </row>
    <row r="918" spans="1:8" ht="18" customHeight="1">
      <c r="A918" s="239"/>
      <c r="B918" s="239"/>
      <c r="C918" s="239"/>
      <c r="D918" s="239"/>
      <c r="E918" s="239"/>
      <c r="F918" s="239"/>
      <c r="G918" s="239"/>
      <c r="H918" s="239"/>
    </row>
    <row r="919" spans="1:8" ht="18" customHeight="1">
      <c r="A919" s="239"/>
      <c r="B919" s="239"/>
      <c r="C919" s="239"/>
      <c r="D919" s="239"/>
      <c r="E919" s="239"/>
      <c r="F919" s="239"/>
      <c r="G919" s="239"/>
      <c r="H919" s="239"/>
    </row>
    <row r="920" spans="1:8" ht="18" customHeight="1">
      <c r="A920" s="239"/>
      <c r="B920" s="239"/>
      <c r="C920" s="239"/>
      <c r="D920" s="239"/>
      <c r="E920" s="239"/>
      <c r="F920" s="239"/>
      <c r="G920" s="239"/>
      <c r="H920" s="239"/>
    </row>
    <row r="921" spans="1:8" ht="18" customHeight="1">
      <c r="A921" s="239"/>
      <c r="B921" s="239"/>
      <c r="C921" s="239"/>
      <c r="D921" s="239"/>
      <c r="E921" s="239"/>
      <c r="F921" s="239"/>
      <c r="G921" s="239"/>
      <c r="H921" s="239"/>
    </row>
    <row r="922" spans="1:8" ht="18" customHeight="1">
      <c r="A922" s="239"/>
      <c r="B922" s="239"/>
      <c r="C922" s="239"/>
      <c r="D922" s="239"/>
      <c r="E922" s="239"/>
      <c r="F922" s="239"/>
      <c r="G922" s="239"/>
      <c r="H922" s="239"/>
    </row>
    <row r="923" spans="1:8" ht="18" customHeight="1">
      <c r="A923" s="239"/>
      <c r="B923" s="239"/>
      <c r="C923" s="239"/>
      <c r="D923" s="239"/>
      <c r="E923" s="239"/>
      <c r="F923" s="239"/>
      <c r="G923" s="239"/>
      <c r="H923" s="239"/>
    </row>
    <row r="924" spans="1:8" ht="18" customHeight="1">
      <c r="A924" s="239"/>
      <c r="B924" s="239"/>
      <c r="C924" s="239"/>
      <c r="D924" s="239"/>
      <c r="E924" s="239"/>
      <c r="F924" s="239"/>
      <c r="G924" s="239"/>
      <c r="H924" s="239"/>
    </row>
    <row r="925" spans="1:8" ht="18" customHeight="1">
      <c r="A925" s="239"/>
      <c r="B925" s="239"/>
      <c r="C925" s="239"/>
      <c r="D925" s="239"/>
      <c r="E925" s="239"/>
      <c r="F925" s="239"/>
      <c r="G925" s="239"/>
      <c r="H925" s="239"/>
    </row>
    <row r="926" spans="1:8" ht="18" customHeight="1">
      <c r="A926" s="239"/>
      <c r="B926" s="239"/>
      <c r="C926" s="239"/>
      <c r="D926" s="239"/>
      <c r="E926" s="239"/>
      <c r="F926" s="239"/>
      <c r="G926" s="239"/>
      <c r="H926" s="239"/>
    </row>
    <row r="927" spans="1:8" ht="18" customHeight="1">
      <c r="A927" s="239"/>
      <c r="B927" s="239"/>
      <c r="C927" s="239"/>
      <c r="D927" s="239"/>
      <c r="E927" s="239"/>
      <c r="F927" s="239"/>
      <c r="G927" s="239"/>
      <c r="H927" s="239"/>
    </row>
    <row r="928" spans="1:8" ht="18" customHeight="1">
      <c r="A928" s="239"/>
      <c r="B928" s="239"/>
      <c r="C928" s="239"/>
      <c r="D928" s="239"/>
      <c r="E928" s="239"/>
      <c r="F928" s="239"/>
      <c r="G928" s="239"/>
      <c r="H928" s="239"/>
    </row>
    <row r="929" spans="1:8" ht="18" customHeight="1">
      <c r="A929" s="239"/>
      <c r="B929" s="239"/>
      <c r="C929" s="239"/>
      <c r="D929" s="239"/>
      <c r="E929" s="239"/>
      <c r="F929" s="239"/>
      <c r="G929" s="239"/>
      <c r="H929" s="239"/>
    </row>
    <row r="930" spans="1:8" ht="18" customHeight="1">
      <c r="A930" s="239"/>
      <c r="B930" s="239"/>
      <c r="C930" s="239"/>
      <c r="D930" s="239"/>
      <c r="E930" s="239"/>
      <c r="F930" s="239"/>
      <c r="G930" s="239"/>
      <c r="H930" s="239"/>
    </row>
    <row r="931" spans="1:8" ht="18" customHeight="1">
      <c r="A931" s="239"/>
      <c r="B931" s="239"/>
      <c r="C931" s="239"/>
      <c r="D931" s="239"/>
      <c r="E931" s="239"/>
      <c r="F931" s="239"/>
      <c r="G931" s="239"/>
      <c r="H931" s="239"/>
    </row>
    <row r="932" spans="1:8" ht="18" customHeight="1">
      <c r="A932" s="239"/>
      <c r="B932" s="239"/>
      <c r="C932" s="239"/>
      <c r="D932" s="239"/>
      <c r="E932" s="239"/>
      <c r="F932" s="239"/>
      <c r="G932" s="239"/>
      <c r="H932" s="239"/>
    </row>
    <row r="933" spans="1:8" ht="18" customHeight="1">
      <c r="A933" s="239"/>
      <c r="B933" s="239"/>
      <c r="C933" s="239"/>
      <c r="D933" s="239"/>
      <c r="E933" s="239"/>
      <c r="F933" s="239"/>
      <c r="G933" s="239"/>
      <c r="H933" s="239"/>
    </row>
    <row r="934" spans="1:8" ht="18" customHeight="1">
      <c r="A934" s="239"/>
      <c r="B934" s="239"/>
      <c r="C934" s="239"/>
      <c r="D934" s="239"/>
      <c r="E934" s="239"/>
      <c r="F934" s="239"/>
      <c r="G934" s="239"/>
      <c r="H934" s="239"/>
    </row>
    <row r="935" spans="1:8" ht="18" customHeight="1">
      <c r="A935" s="239"/>
      <c r="B935" s="239"/>
      <c r="C935" s="239"/>
      <c r="D935" s="239"/>
      <c r="E935" s="239"/>
      <c r="F935" s="239"/>
      <c r="G935" s="239"/>
      <c r="H935" s="239"/>
    </row>
    <row r="936" spans="1:8" ht="18" customHeight="1">
      <c r="A936" s="239"/>
      <c r="B936" s="239"/>
      <c r="C936" s="239"/>
      <c r="D936" s="239"/>
      <c r="E936" s="239"/>
      <c r="F936" s="239"/>
      <c r="G936" s="239"/>
      <c r="H936" s="239"/>
    </row>
    <row r="937" spans="1:8" ht="18" customHeight="1">
      <c r="A937" s="239"/>
      <c r="B937" s="239"/>
      <c r="C937" s="239"/>
      <c r="D937" s="239"/>
      <c r="E937" s="239"/>
      <c r="F937" s="239"/>
      <c r="G937" s="239"/>
      <c r="H937" s="239"/>
    </row>
    <row r="938" spans="1:8" ht="18" customHeight="1">
      <c r="A938" s="239"/>
      <c r="B938" s="239"/>
      <c r="C938" s="239"/>
      <c r="D938" s="239"/>
      <c r="E938" s="239"/>
      <c r="F938" s="239"/>
      <c r="G938" s="239"/>
      <c r="H938" s="239"/>
    </row>
    <row r="939" spans="1:8" ht="18" customHeight="1">
      <c r="A939" s="239"/>
      <c r="B939" s="239"/>
      <c r="C939" s="239"/>
      <c r="D939" s="239"/>
      <c r="E939" s="239"/>
      <c r="F939" s="239"/>
      <c r="G939" s="239"/>
      <c r="H939" s="239"/>
    </row>
    <row r="940" spans="1:8" ht="18" customHeight="1">
      <c r="A940" s="239"/>
      <c r="B940" s="239"/>
      <c r="C940" s="239"/>
      <c r="D940" s="239"/>
      <c r="E940" s="239"/>
      <c r="F940" s="239"/>
      <c r="G940" s="239"/>
      <c r="H940" s="239"/>
    </row>
    <row r="941" spans="1:8" ht="18" customHeight="1">
      <c r="A941" s="239"/>
      <c r="B941" s="239"/>
      <c r="C941" s="239"/>
      <c r="D941" s="239"/>
      <c r="E941" s="239"/>
      <c r="F941" s="239"/>
      <c r="G941" s="239"/>
      <c r="H941" s="239"/>
    </row>
    <row r="942" spans="1:8" ht="18" customHeight="1">
      <c r="A942" s="239"/>
      <c r="B942" s="239"/>
      <c r="C942" s="239"/>
      <c r="D942" s="239"/>
      <c r="E942" s="239"/>
      <c r="F942" s="239"/>
      <c r="G942" s="239"/>
      <c r="H942" s="239"/>
    </row>
    <row r="943" spans="1:8" ht="18" customHeight="1">
      <c r="A943" s="239"/>
      <c r="B943" s="239"/>
      <c r="C943" s="239"/>
      <c r="D943" s="239"/>
      <c r="E943" s="239"/>
      <c r="F943" s="239"/>
      <c r="G943" s="239"/>
      <c r="H943" s="239"/>
    </row>
    <row r="944" spans="1:8" ht="18" customHeight="1">
      <c r="A944" s="239"/>
      <c r="B944" s="239"/>
      <c r="C944" s="239"/>
      <c r="D944" s="239"/>
      <c r="E944" s="239"/>
      <c r="F944" s="239"/>
      <c r="G944" s="239"/>
      <c r="H944" s="239"/>
    </row>
    <row r="945" spans="1:8" ht="18" customHeight="1">
      <c r="A945" s="239"/>
      <c r="B945" s="239"/>
      <c r="C945" s="239"/>
      <c r="D945" s="239"/>
      <c r="E945" s="239"/>
      <c r="F945" s="239"/>
      <c r="G945" s="239"/>
      <c r="H945" s="239"/>
    </row>
    <row r="946" spans="1:8" ht="18" customHeight="1">
      <c r="A946" s="239"/>
      <c r="B946" s="239"/>
      <c r="C946" s="239"/>
      <c r="D946" s="239"/>
      <c r="E946" s="239"/>
      <c r="F946" s="239"/>
      <c r="G946" s="239"/>
      <c r="H946" s="239"/>
    </row>
    <row r="947" spans="1:8" ht="18" customHeight="1">
      <c r="A947" s="239"/>
      <c r="B947" s="239"/>
      <c r="C947" s="239"/>
      <c r="D947" s="239"/>
      <c r="E947" s="239"/>
      <c r="F947" s="239"/>
      <c r="G947" s="239"/>
      <c r="H947" s="239"/>
    </row>
    <row r="948" spans="1:8" ht="18" customHeight="1">
      <c r="A948" s="239"/>
      <c r="B948" s="239"/>
      <c r="C948" s="239"/>
      <c r="D948" s="239"/>
      <c r="E948" s="239"/>
      <c r="F948" s="239"/>
      <c r="G948" s="239"/>
      <c r="H948" s="239"/>
    </row>
    <row r="949" spans="1:8" ht="18" customHeight="1">
      <c r="A949" s="239"/>
      <c r="B949" s="239"/>
      <c r="C949" s="239"/>
      <c r="D949" s="239"/>
      <c r="E949" s="239"/>
      <c r="F949" s="239"/>
      <c r="G949" s="239"/>
      <c r="H949" s="239"/>
    </row>
    <row r="950" spans="1:8" ht="18" customHeight="1">
      <c r="A950" s="239"/>
      <c r="B950" s="239"/>
      <c r="C950" s="239"/>
      <c r="D950" s="239"/>
      <c r="E950" s="239"/>
      <c r="F950" s="239"/>
      <c r="G950" s="239"/>
      <c r="H950" s="239"/>
    </row>
    <row r="951" spans="1:8" ht="18" customHeight="1">
      <c r="A951" s="239"/>
      <c r="B951" s="239"/>
      <c r="C951" s="239"/>
      <c r="D951" s="239"/>
      <c r="E951" s="239"/>
      <c r="F951" s="239"/>
      <c r="G951" s="239"/>
      <c r="H951" s="239"/>
    </row>
    <row r="952" spans="1:8" ht="18" customHeight="1">
      <c r="A952" s="239"/>
      <c r="B952" s="239"/>
      <c r="C952" s="239"/>
      <c r="D952" s="239"/>
      <c r="E952" s="239"/>
      <c r="F952" s="239"/>
      <c r="G952" s="239"/>
      <c r="H952" s="239"/>
    </row>
    <row r="953" spans="1:8" ht="18" customHeight="1">
      <c r="A953" s="239"/>
      <c r="B953" s="239"/>
      <c r="C953" s="239"/>
      <c r="D953" s="239"/>
      <c r="E953" s="239"/>
      <c r="F953" s="239"/>
      <c r="G953" s="239"/>
      <c r="H953" s="239"/>
    </row>
    <row r="954" spans="1:8" ht="18" customHeight="1">
      <c r="A954" s="239"/>
      <c r="B954" s="239"/>
      <c r="C954" s="239"/>
      <c r="D954" s="239"/>
      <c r="E954" s="239"/>
      <c r="F954" s="239"/>
      <c r="G954" s="239"/>
      <c r="H954" s="239"/>
    </row>
    <row r="955" spans="1:8" ht="18" customHeight="1">
      <c r="A955" s="239"/>
      <c r="B955" s="239"/>
      <c r="C955" s="239"/>
      <c r="D955" s="239"/>
      <c r="E955" s="239"/>
      <c r="F955" s="239"/>
      <c r="G955" s="239"/>
      <c r="H955" s="239"/>
    </row>
    <row r="956" spans="1:8" ht="18" customHeight="1">
      <c r="A956" s="239"/>
      <c r="B956" s="239"/>
      <c r="C956" s="239"/>
      <c r="D956" s="239"/>
      <c r="E956" s="239"/>
      <c r="F956" s="239"/>
      <c r="G956" s="239"/>
      <c r="H956" s="239"/>
    </row>
    <row r="957" spans="1:8" ht="18" customHeight="1">
      <c r="A957" s="239"/>
      <c r="B957" s="239"/>
      <c r="C957" s="239"/>
      <c r="D957" s="239"/>
      <c r="E957" s="239"/>
      <c r="F957" s="239"/>
      <c r="G957" s="239"/>
      <c r="H957" s="239"/>
    </row>
    <row r="958" spans="1:8" ht="18" customHeight="1">
      <c r="A958" s="239"/>
      <c r="B958" s="239"/>
      <c r="C958" s="239"/>
      <c r="D958" s="239"/>
      <c r="E958" s="239"/>
      <c r="F958" s="239"/>
      <c r="G958" s="239"/>
      <c r="H958" s="239"/>
    </row>
    <row r="959" spans="1:8" ht="18" customHeight="1">
      <c r="A959" s="239"/>
      <c r="B959" s="239"/>
      <c r="C959" s="239"/>
      <c r="D959" s="239"/>
      <c r="E959" s="239"/>
      <c r="F959" s="239"/>
      <c r="G959" s="239"/>
      <c r="H959" s="239"/>
    </row>
    <row r="960" spans="1:8" ht="18" customHeight="1">
      <c r="A960" s="239"/>
      <c r="B960" s="239"/>
      <c r="C960" s="239"/>
      <c r="D960" s="239"/>
      <c r="E960" s="239"/>
      <c r="F960" s="239"/>
      <c r="G960" s="239"/>
      <c r="H960" s="239"/>
    </row>
    <row r="961" spans="1:8" ht="18" customHeight="1">
      <c r="A961" s="239"/>
      <c r="B961" s="239"/>
      <c r="C961" s="239"/>
      <c r="D961" s="239"/>
      <c r="E961" s="239"/>
      <c r="F961" s="239"/>
      <c r="G961" s="239"/>
      <c r="H961" s="239"/>
    </row>
    <row r="962" spans="1:8" ht="18" customHeight="1">
      <c r="A962" s="239"/>
      <c r="B962" s="239"/>
      <c r="C962" s="239"/>
      <c r="D962" s="239"/>
      <c r="E962" s="239"/>
      <c r="F962" s="239"/>
      <c r="G962" s="239"/>
      <c r="H962" s="239"/>
    </row>
    <row r="963" spans="1:8" ht="18" customHeight="1">
      <c r="A963" s="239"/>
      <c r="B963" s="239"/>
      <c r="C963" s="239"/>
      <c r="D963" s="239"/>
      <c r="E963" s="239"/>
      <c r="F963" s="239"/>
      <c r="G963" s="239"/>
      <c r="H963" s="239"/>
    </row>
    <row r="964" spans="1:8" ht="18" customHeight="1">
      <c r="A964" s="239"/>
      <c r="B964" s="239"/>
      <c r="C964" s="239"/>
      <c r="D964" s="239"/>
      <c r="E964" s="239"/>
      <c r="F964" s="239"/>
      <c r="G964" s="239"/>
      <c r="H964" s="239"/>
    </row>
    <row r="965" spans="1:8" ht="18" customHeight="1">
      <c r="A965" s="239"/>
      <c r="B965" s="239"/>
      <c r="C965" s="239"/>
      <c r="D965" s="239"/>
      <c r="E965" s="239"/>
      <c r="F965" s="239"/>
      <c r="G965" s="239"/>
      <c r="H965" s="239"/>
    </row>
    <row r="966" spans="1:8" ht="18" customHeight="1">
      <c r="A966" s="239"/>
      <c r="B966" s="239"/>
      <c r="C966" s="239"/>
      <c r="D966" s="239"/>
      <c r="E966" s="239"/>
      <c r="F966" s="239"/>
      <c r="G966" s="239"/>
      <c r="H966" s="239"/>
    </row>
    <row r="967" spans="1:8" ht="18" customHeight="1">
      <c r="A967" s="239"/>
      <c r="B967" s="239"/>
      <c r="C967" s="239"/>
      <c r="D967" s="239"/>
      <c r="E967" s="239"/>
      <c r="F967" s="239"/>
      <c r="G967" s="239"/>
      <c r="H967" s="239"/>
    </row>
    <row r="968" spans="1:8" ht="18" customHeight="1">
      <c r="A968" s="239"/>
      <c r="B968" s="239"/>
      <c r="C968" s="239"/>
      <c r="D968" s="239"/>
      <c r="E968" s="239"/>
      <c r="F968" s="239"/>
      <c r="G968" s="239"/>
      <c r="H968" s="239"/>
    </row>
    <row r="969" spans="1:8" ht="18" customHeight="1">
      <c r="A969" s="239"/>
      <c r="B969" s="239"/>
      <c r="C969" s="239"/>
      <c r="D969" s="239"/>
      <c r="E969" s="239"/>
      <c r="F969" s="239"/>
      <c r="G969" s="239"/>
      <c r="H969" s="239"/>
    </row>
    <row r="970" spans="1:8" ht="18" customHeight="1">
      <c r="A970" s="239"/>
      <c r="B970" s="239"/>
      <c r="C970" s="239"/>
      <c r="D970" s="239"/>
      <c r="E970" s="239"/>
      <c r="F970" s="239"/>
      <c r="G970" s="239"/>
      <c r="H970" s="239"/>
    </row>
    <row r="971" spans="1:8" ht="18" customHeight="1">
      <c r="A971" s="239"/>
      <c r="B971" s="239"/>
      <c r="C971" s="239"/>
      <c r="D971" s="239"/>
      <c r="E971" s="239"/>
      <c r="F971" s="239"/>
      <c r="G971" s="239"/>
      <c r="H971" s="239"/>
    </row>
    <row r="972" spans="1:8" ht="18" customHeight="1">
      <c r="A972" s="239"/>
      <c r="B972" s="239"/>
      <c r="C972" s="239"/>
      <c r="D972" s="239"/>
      <c r="E972" s="239"/>
      <c r="F972" s="239"/>
      <c r="G972" s="239"/>
      <c r="H972" s="239"/>
    </row>
    <row r="973" spans="1:8" ht="18" customHeight="1">
      <c r="A973" s="239"/>
      <c r="B973" s="239"/>
      <c r="C973" s="239"/>
      <c r="D973" s="239"/>
      <c r="E973" s="239"/>
      <c r="F973" s="239"/>
      <c r="G973" s="239"/>
      <c r="H973" s="239"/>
    </row>
    <row r="974" spans="1:8" ht="18" customHeight="1">
      <c r="A974" s="239"/>
      <c r="B974" s="239"/>
      <c r="C974" s="239"/>
      <c r="D974" s="239"/>
      <c r="E974" s="239"/>
      <c r="F974" s="239"/>
      <c r="G974" s="239"/>
      <c r="H974" s="239"/>
    </row>
    <row r="975" spans="1:8" ht="18" customHeight="1">
      <c r="A975" s="239"/>
      <c r="B975" s="239"/>
      <c r="C975" s="239"/>
      <c r="D975" s="239"/>
      <c r="E975" s="239"/>
      <c r="F975" s="239"/>
      <c r="G975" s="239"/>
      <c r="H975" s="239"/>
    </row>
    <row r="976" spans="1:8" ht="18" customHeight="1">
      <c r="A976" s="239"/>
      <c r="B976" s="239"/>
      <c r="C976" s="239"/>
      <c r="D976" s="239"/>
      <c r="E976" s="239"/>
      <c r="F976" s="239"/>
      <c r="G976" s="239"/>
      <c r="H976" s="239"/>
    </row>
    <row r="977" spans="1:8" ht="18" customHeight="1">
      <c r="A977" s="239"/>
      <c r="B977" s="239"/>
      <c r="C977" s="239"/>
      <c r="D977" s="239"/>
      <c r="E977" s="239"/>
      <c r="F977" s="239"/>
      <c r="G977" s="239"/>
      <c r="H977" s="239"/>
    </row>
    <row r="978" spans="1:8" ht="18" customHeight="1">
      <c r="A978" s="239"/>
      <c r="B978" s="239"/>
      <c r="C978" s="239"/>
      <c r="D978" s="239"/>
      <c r="E978" s="239"/>
      <c r="F978" s="239"/>
      <c r="G978" s="239"/>
      <c r="H978" s="239"/>
    </row>
    <row r="979" spans="1:8" ht="18" customHeight="1">
      <c r="A979" s="239"/>
      <c r="B979" s="239"/>
      <c r="C979" s="239"/>
      <c r="D979" s="239"/>
      <c r="E979" s="239"/>
      <c r="F979" s="239"/>
      <c r="G979" s="239"/>
      <c r="H979" s="239"/>
    </row>
    <row r="980" spans="1:8" ht="18" customHeight="1">
      <c r="A980" s="239"/>
      <c r="B980" s="239"/>
      <c r="C980" s="239"/>
      <c r="D980" s="239"/>
      <c r="E980" s="239"/>
      <c r="F980" s="239"/>
      <c r="G980" s="239"/>
      <c r="H980" s="239"/>
    </row>
    <row r="981" spans="1:8" ht="18" customHeight="1">
      <c r="A981" s="239"/>
      <c r="B981" s="239"/>
      <c r="C981" s="239"/>
      <c r="D981" s="239"/>
      <c r="E981" s="239"/>
      <c r="F981" s="239"/>
      <c r="G981" s="239"/>
      <c r="H981" s="239"/>
    </row>
    <row r="982" spans="1:8" ht="18" customHeight="1">
      <c r="A982" s="239"/>
      <c r="B982" s="239"/>
      <c r="C982" s="239"/>
      <c r="D982" s="239"/>
      <c r="E982" s="239"/>
      <c r="F982" s="239"/>
      <c r="G982" s="239"/>
      <c r="H982" s="239"/>
    </row>
    <row r="983" spans="1:8" ht="18" customHeight="1">
      <c r="A983" s="239"/>
      <c r="B983" s="239"/>
      <c r="C983" s="239"/>
      <c r="D983" s="239"/>
      <c r="E983" s="239"/>
      <c r="F983" s="239"/>
      <c r="G983" s="239"/>
      <c r="H983" s="239"/>
    </row>
    <row r="984" spans="1:8" ht="18" customHeight="1">
      <c r="A984" s="239"/>
      <c r="B984" s="239"/>
      <c r="C984" s="239"/>
      <c r="D984" s="239"/>
      <c r="E984" s="239"/>
      <c r="F984" s="239"/>
      <c r="G984" s="239"/>
      <c r="H984" s="239"/>
    </row>
    <row r="985" spans="1:8" ht="18" customHeight="1">
      <c r="A985" s="239"/>
      <c r="B985" s="239"/>
      <c r="C985" s="239"/>
      <c r="D985" s="239"/>
      <c r="E985" s="239"/>
      <c r="F985" s="239"/>
      <c r="G985" s="239"/>
      <c r="H985" s="239"/>
    </row>
    <row r="986" spans="1:8" ht="18" customHeight="1">
      <c r="A986" s="239"/>
      <c r="B986" s="239"/>
      <c r="C986" s="239"/>
      <c r="D986" s="239"/>
      <c r="E986" s="239"/>
      <c r="F986" s="239"/>
      <c r="G986" s="239"/>
      <c r="H986" s="239"/>
    </row>
    <row r="987" spans="1:8" ht="18" customHeight="1">
      <c r="A987" s="239"/>
      <c r="B987" s="239"/>
      <c r="C987" s="239"/>
      <c r="D987" s="239"/>
      <c r="E987" s="239"/>
      <c r="F987" s="239"/>
      <c r="G987" s="239"/>
      <c r="H987" s="239"/>
    </row>
    <row r="988" spans="1:8" ht="18" customHeight="1">
      <c r="A988" s="239"/>
      <c r="B988" s="239"/>
      <c r="C988" s="239"/>
      <c r="D988" s="239"/>
      <c r="E988" s="239"/>
      <c r="F988" s="239"/>
      <c r="G988" s="239"/>
      <c r="H988" s="239"/>
    </row>
    <row r="989" spans="1:8" ht="18" customHeight="1">
      <c r="A989" s="239"/>
      <c r="B989" s="239"/>
      <c r="C989" s="239"/>
      <c r="D989" s="239"/>
      <c r="E989" s="239"/>
      <c r="F989" s="239"/>
      <c r="G989" s="239"/>
      <c r="H989" s="239"/>
    </row>
    <row r="990" spans="1:8" ht="18" customHeight="1">
      <c r="A990" s="239"/>
      <c r="B990" s="239"/>
      <c r="C990" s="239"/>
      <c r="D990" s="239"/>
      <c r="E990" s="239"/>
      <c r="F990" s="239"/>
      <c r="G990" s="239"/>
      <c r="H990" s="239"/>
    </row>
    <row r="991" spans="1:8" ht="18" customHeight="1">
      <c r="A991" s="239"/>
      <c r="B991" s="239"/>
      <c r="C991" s="239"/>
      <c r="D991" s="239"/>
      <c r="E991" s="239"/>
      <c r="F991" s="239"/>
      <c r="G991" s="239"/>
      <c r="H991" s="239"/>
    </row>
    <row r="992" spans="1:8" ht="18" customHeight="1">
      <c r="A992" s="239"/>
      <c r="B992" s="239"/>
      <c r="C992" s="239"/>
      <c r="D992" s="239"/>
      <c r="E992" s="239"/>
      <c r="F992" s="239"/>
      <c r="G992" s="239"/>
      <c r="H992" s="239"/>
    </row>
    <row r="993" spans="1:8" ht="18" customHeight="1">
      <c r="A993" s="239"/>
      <c r="B993" s="239"/>
      <c r="C993" s="239"/>
      <c r="D993" s="239"/>
      <c r="E993" s="239"/>
      <c r="F993" s="239"/>
      <c r="G993" s="239"/>
      <c r="H993" s="239"/>
    </row>
    <row r="994" spans="1:8" ht="18" customHeight="1">
      <c r="A994" s="239"/>
      <c r="B994" s="239"/>
      <c r="C994" s="239"/>
      <c r="D994" s="239"/>
      <c r="E994" s="239"/>
      <c r="F994" s="239"/>
      <c r="G994" s="239"/>
      <c r="H994" s="239"/>
    </row>
    <row r="995" spans="1:8" ht="18" customHeight="1">
      <c r="A995" s="239"/>
      <c r="B995" s="239"/>
      <c r="C995" s="239"/>
      <c r="D995" s="239"/>
      <c r="E995" s="239"/>
      <c r="F995" s="239"/>
      <c r="G995" s="239"/>
      <c r="H995" s="239"/>
    </row>
    <row r="996" spans="1:8" ht="18" customHeight="1">
      <c r="A996" s="239"/>
      <c r="B996" s="239"/>
      <c r="C996" s="239"/>
      <c r="D996" s="239"/>
      <c r="E996" s="239"/>
      <c r="F996" s="239"/>
      <c r="G996" s="239"/>
      <c r="H996" s="239"/>
    </row>
    <row r="997" spans="1:8" ht="18" customHeight="1">
      <c r="A997" s="239"/>
      <c r="B997" s="239"/>
      <c r="C997" s="239"/>
      <c r="D997" s="239"/>
      <c r="E997" s="239"/>
      <c r="F997" s="239"/>
      <c r="G997" s="239"/>
      <c r="H997" s="239"/>
    </row>
    <row r="998" spans="1:8" ht="18" customHeight="1">
      <c r="A998" s="239"/>
      <c r="B998" s="239"/>
      <c r="C998" s="239"/>
      <c r="D998" s="239"/>
      <c r="E998" s="239"/>
      <c r="F998" s="239"/>
      <c r="G998" s="239"/>
      <c r="H998" s="239"/>
    </row>
    <row r="999" spans="1:8" ht="18" customHeight="1">
      <c r="A999" s="239"/>
      <c r="B999" s="239"/>
      <c r="C999" s="239"/>
      <c r="D999" s="239"/>
      <c r="E999" s="239"/>
      <c r="F999" s="239"/>
      <c r="G999" s="239"/>
      <c r="H999" s="239"/>
    </row>
    <row r="1000" spans="1:8" ht="18" customHeight="1">
      <c r="A1000" s="239"/>
      <c r="B1000" s="239"/>
      <c r="C1000" s="239"/>
      <c r="D1000" s="239"/>
      <c r="E1000" s="239"/>
      <c r="F1000" s="239"/>
      <c r="G1000" s="239"/>
      <c r="H1000" s="239"/>
    </row>
    <row r="1001" spans="1:8" ht="18" customHeight="1">
      <c r="A1001" s="239"/>
      <c r="B1001" s="239"/>
      <c r="C1001" s="239"/>
      <c r="D1001" s="239"/>
      <c r="E1001" s="239"/>
      <c r="F1001" s="239"/>
      <c r="G1001" s="239"/>
      <c r="H1001" s="239"/>
    </row>
    <row r="1002" spans="1:8" ht="18" customHeight="1">
      <c r="A1002" s="239"/>
      <c r="B1002" s="239"/>
      <c r="C1002" s="239"/>
      <c r="D1002" s="239"/>
      <c r="E1002" s="239"/>
      <c r="F1002" s="239"/>
      <c r="G1002" s="239"/>
      <c r="H1002" s="239"/>
    </row>
    <row r="1003" spans="1:8" ht="18" customHeight="1">
      <c r="A1003" s="239"/>
      <c r="B1003" s="239"/>
      <c r="C1003" s="239"/>
      <c r="D1003" s="239"/>
      <c r="E1003" s="239"/>
      <c r="F1003" s="239"/>
      <c r="G1003" s="239"/>
      <c r="H1003" s="239"/>
    </row>
    <row r="1004" spans="1:8" ht="18" customHeight="1">
      <c r="A1004" s="239"/>
      <c r="B1004" s="239"/>
      <c r="C1004" s="239"/>
      <c r="D1004" s="239"/>
      <c r="E1004" s="239"/>
      <c r="F1004" s="239"/>
      <c r="G1004" s="239"/>
      <c r="H1004" s="239"/>
    </row>
    <row r="1005" spans="1:8" ht="18" customHeight="1">
      <c r="A1005" s="239"/>
      <c r="B1005" s="239"/>
      <c r="C1005" s="239"/>
      <c r="D1005" s="239"/>
      <c r="E1005" s="239"/>
      <c r="F1005" s="239"/>
      <c r="G1005" s="239"/>
      <c r="H1005" s="239"/>
    </row>
    <row r="1006" spans="1:8" ht="18" customHeight="1">
      <c r="A1006" s="239"/>
      <c r="B1006" s="239"/>
      <c r="C1006" s="239"/>
      <c r="D1006" s="239"/>
      <c r="E1006" s="239"/>
      <c r="F1006" s="239"/>
      <c r="G1006" s="239"/>
      <c r="H1006" s="239"/>
    </row>
    <row r="1007" spans="1:8" ht="18" customHeight="1">
      <c r="A1007" s="239"/>
      <c r="B1007" s="239"/>
      <c r="C1007" s="239"/>
      <c r="D1007" s="239"/>
      <c r="E1007" s="239"/>
      <c r="F1007" s="239"/>
      <c r="G1007" s="239"/>
      <c r="H1007" s="239"/>
    </row>
    <row r="1008" spans="1:8" ht="18" customHeight="1">
      <c r="A1008" s="239"/>
      <c r="B1008" s="239"/>
      <c r="C1008" s="239"/>
      <c r="D1008" s="239"/>
      <c r="E1008" s="239"/>
      <c r="F1008" s="239"/>
      <c r="G1008" s="239"/>
      <c r="H1008" s="239"/>
    </row>
    <row r="1009" spans="1:8" ht="18" customHeight="1">
      <c r="A1009" s="239"/>
      <c r="B1009" s="239"/>
      <c r="C1009" s="239"/>
      <c r="D1009" s="239"/>
      <c r="E1009" s="239"/>
      <c r="F1009" s="239"/>
      <c r="G1009" s="239"/>
      <c r="H1009" s="239"/>
    </row>
    <row r="1010" spans="1:8" ht="18" customHeight="1">
      <c r="A1010" s="239"/>
      <c r="B1010" s="239"/>
      <c r="C1010" s="239"/>
      <c r="D1010" s="239"/>
      <c r="E1010" s="239"/>
      <c r="F1010" s="239"/>
      <c r="G1010" s="239"/>
      <c r="H1010" s="239"/>
    </row>
    <row r="1011" spans="1:8" ht="18" customHeight="1">
      <c r="A1011" s="239"/>
      <c r="B1011" s="239"/>
      <c r="C1011" s="239"/>
      <c r="D1011" s="239"/>
      <c r="E1011" s="239"/>
      <c r="F1011" s="239"/>
      <c r="G1011" s="239"/>
      <c r="H1011" s="239"/>
    </row>
    <row r="1012" spans="1:8" ht="18" customHeight="1">
      <c r="A1012" s="239"/>
      <c r="B1012" s="239"/>
      <c r="C1012" s="239"/>
      <c r="D1012" s="239"/>
      <c r="E1012" s="239"/>
      <c r="F1012" s="239"/>
      <c r="G1012" s="239"/>
      <c r="H1012" s="239"/>
    </row>
    <row r="1013" spans="1:8" ht="18" customHeight="1">
      <c r="A1013" s="239"/>
      <c r="B1013" s="239"/>
      <c r="C1013" s="239"/>
      <c r="D1013" s="239"/>
      <c r="E1013" s="239"/>
      <c r="F1013" s="239"/>
      <c r="G1013" s="239"/>
      <c r="H1013" s="239"/>
    </row>
    <row r="1014" spans="1:8" ht="18" customHeight="1">
      <c r="A1014" s="239"/>
      <c r="B1014" s="239"/>
      <c r="C1014" s="239"/>
      <c r="D1014" s="239"/>
      <c r="E1014" s="239"/>
      <c r="F1014" s="239"/>
      <c r="G1014" s="239"/>
      <c r="H1014" s="239"/>
    </row>
    <row r="1015" spans="1:8" ht="18" customHeight="1">
      <c r="A1015" s="239"/>
      <c r="B1015" s="239"/>
      <c r="C1015" s="239"/>
      <c r="D1015" s="239"/>
      <c r="E1015" s="239"/>
      <c r="F1015" s="239"/>
      <c r="G1015" s="239"/>
      <c r="H1015" s="239"/>
    </row>
    <row r="1016" spans="1:8" ht="18" customHeight="1">
      <c r="A1016" s="239"/>
      <c r="B1016" s="239"/>
      <c r="C1016" s="239"/>
      <c r="D1016" s="239"/>
      <c r="E1016" s="239"/>
      <c r="F1016" s="239"/>
      <c r="G1016" s="239"/>
      <c r="H1016" s="239"/>
    </row>
    <row r="1017" spans="1:8" ht="18" customHeight="1">
      <c r="A1017" s="239"/>
      <c r="B1017" s="239"/>
      <c r="C1017" s="239"/>
      <c r="D1017" s="239"/>
      <c r="E1017" s="239"/>
      <c r="F1017" s="239"/>
      <c r="G1017" s="239"/>
      <c r="H1017" s="239"/>
    </row>
    <row r="1018" spans="1:8" ht="18" customHeight="1">
      <c r="A1018" s="239"/>
      <c r="B1018" s="239"/>
      <c r="C1018" s="239"/>
      <c r="D1018" s="239"/>
      <c r="E1018" s="239"/>
      <c r="F1018" s="239"/>
      <c r="G1018" s="239"/>
      <c r="H1018" s="239"/>
    </row>
    <row r="1019" spans="1:8" ht="18" customHeight="1">
      <c r="A1019" s="239"/>
      <c r="B1019" s="239"/>
      <c r="C1019" s="239"/>
      <c r="D1019" s="239"/>
      <c r="E1019" s="239"/>
      <c r="F1019" s="239"/>
      <c r="G1019" s="239"/>
      <c r="H1019" s="239"/>
    </row>
    <row r="1020" spans="1:8" ht="18" customHeight="1">
      <c r="A1020" s="239"/>
      <c r="B1020" s="239"/>
      <c r="C1020" s="239"/>
      <c r="D1020" s="239"/>
      <c r="E1020" s="239"/>
      <c r="F1020" s="239"/>
      <c r="G1020" s="239"/>
      <c r="H1020" s="239"/>
    </row>
    <row r="1021" spans="1:8" ht="18" customHeight="1">
      <c r="A1021" s="239"/>
      <c r="B1021" s="239"/>
      <c r="C1021" s="239"/>
      <c r="D1021" s="239"/>
      <c r="E1021" s="239"/>
      <c r="F1021" s="239"/>
      <c r="G1021" s="239"/>
      <c r="H1021" s="239"/>
    </row>
    <row r="1022" spans="1:8" ht="18" customHeight="1">
      <c r="A1022" s="239"/>
      <c r="B1022" s="239"/>
      <c r="C1022" s="239"/>
      <c r="D1022" s="239"/>
      <c r="E1022" s="239"/>
      <c r="F1022" s="239"/>
      <c r="G1022" s="239"/>
      <c r="H1022" s="239"/>
    </row>
    <row r="1023" spans="1:8" ht="18" customHeight="1">
      <c r="A1023" s="239"/>
      <c r="B1023" s="239"/>
      <c r="C1023" s="239"/>
      <c r="D1023" s="239"/>
      <c r="E1023" s="239"/>
      <c r="F1023" s="239"/>
      <c r="G1023" s="239"/>
      <c r="H1023" s="239"/>
    </row>
    <row r="1024" spans="1:8" ht="18" customHeight="1">
      <c r="A1024" s="239"/>
      <c r="B1024" s="239"/>
      <c r="C1024" s="239"/>
      <c r="D1024" s="239"/>
      <c r="E1024" s="239"/>
      <c r="F1024" s="239"/>
      <c r="G1024" s="239"/>
      <c r="H1024" s="239"/>
    </row>
    <row r="1025" spans="1:8" ht="18" customHeight="1">
      <c r="A1025" s="239"/>
      <c r="B1025" s="239"/>
      <c r="C1025" s="239"/>
      <c r="D1025" s="239"/>
      <c r="E1025" s="239"/>
      <c r="F1025" s="239"/>
      <c r="G1025" s="239"/>
      <c r="H1025" s="239"/>
    </row>
    <row r="1026" spans="1:8" ht="18" customHeight="1">
      <c r="A1026" s="239"/>
      <c r="B1026" s="239"/>
      <c r="C1026" s="239"/>
      <c r="D1026" s="239"/>
      <c r="E1026" s="239"/>
      <c r="F1026" s="239"/>
      <c r="G1026" s="239"/>
      <c r="H1026" s="239"/>
    </row>
    <row r="1027" spans="1:8" ht="18" customHeight="1">
      <c r="A1027" s="239"/>
      <c r="B1027" s="239"/>
      <c r="C1027" s="239"/>
      <c r="D1027" s="239"/>
      <c r="E1027" s="239"/>
      <c r="F1027" s="239"/>
      <c r="G1027" s="239"/>
      <c r="H1027" s="239"/>
    </row>
    <row r="1028" spans="1:8" ht="18" customHeight="1">
      <c r="A1028" s="239"/>
      <c r="B1028" s="239"/>
      <c r="C1028" s="239"/>
      <c r="D1028" s="239"/>
      <c r="E1028" s="239"/>
      <c r="F1028" s="239"/>
      <c r="G1028" s="239"/>
      <c r="H1028" s="239"/>
    </row>
    <row r="1029" spans="1:8" ht="18" customHeight="1">
      <c r="A1029" s="239"/>
      <c r="B1029" s="239"/>
      <c r="C1029" s="239"/>
      <c r="D1029" s="239"/>
      <c r="E1029" s="239"/>
      <c r="F1029" s="239"/>
      <c r="G1029" s="239"/>
      <c r="H1029" s="239"/>
    </row>
    <row r="1030" spans="1:8" ht="18" customHeight="1">
      <c r="A1030" s="239"/>
      <c r="B1030" s="239"/>
      <c r="C1030" s="239"/>
      <c r="D1030" s="239"/>
      <c r="E1030" s="239"/>
      <c r="F1030" s="239"/>
      <c r="G1030" s="239"/>
      <c r="H1030" s="239"/>
    </row>
    <row r="1031" spans="1:8" ht="18" customHeight="1">
      <c r="A1031" s="239"/>
      <c r="B1031" s="239"/>
      <c r="C1031" s="239"/>
      <c r="D1031" s="239"/>
      <c r="E1031" s="239"/>
      <c r="F1031" s="239"/>
      <c r="G1031" s="239"/>
      <c r="H1031" s="239"/>
    </row>
    <row r="1032" spans="1:8" ht="18" customHeight="1">
      <c r="A1032" s="239"/>
      <c r="B1032" s="239"/>
      <c r="C1032" s="239"/>
      <c r="D1032" s="239"/>
      <c r="E1032" s="239"/>
      <c r="F1032" s="239"/>
      <c r="G1032" s="239"/>
      <c r="H1032" s="239"/>
    </row>
    <row r="1033" spans="1:8" ht="18" customHeight="1">
      <c r="A1033" s="239"/>
      <c r="B1033" s="239"/>
      <c r="C1033" s="239"/>
      <c r="D1033" s="239"/>
      <c r="E1033" s="239"/>
      <c r="F1033" s="239"/>
      <c r="G1033" s="239"/>
      <c r="H1033" s="239"/>
    </row>
    <row r="1034" spans="1:8" ht="18" customHeight="1">
      <c r="A1034" s="239"/>
      <c r="B1034" s="239"/>
      <c r="C1034" s="239"/>
      <c r="D1034" s="239"/>
      <c r="E1034" s="239"/>
      <c r="F1034" s="239"/>
      <c r="G1034" s="239"/>
      <c r="H1034" s="239"/>
    </row>
    <row r="1035" spans="1:8" ht="18" customHeight="1">
      <c r="A1035" s="239"/>
      <c r="B1035" s="239"/>
      <c r="C1035" s="239"/>
      <c r="D1035" s="239"/>
      <c r="E1035" s="239"/>
      <c r="F1035" s="239"/>
      <c r="G1035" s="239"/>
      <c r="H1035" s="239"/>
    </row>
    <row r="1036" spans="1:8" ht="18" customHeight="1">
      <c r="A1036" s="239"/>
      <c r="B1036" s="239"/>
      <c r="C1036" s="239"/>
      <c r="D1036" s="239"/>
      <c r="E1036" s="239"/>
      <c r="F1036" s="239"/>
      <c r="G1036" s="239"/>
      <c r="H1036" s="239"/>
    </row>
    <row r="1037" spans="1:8" ht="18" customHeight="1">
      <c r="A1037" s="239"/>
      <c r="B1037" s="239"/>
      <c r="C1037" s="239"/>
      <c r="D1037" s="239"/>
      <c r="E1037" s="239"/>
      <c r="F1037" s="239"/>
      <c r="G1037" s="239"/>
      <c r="H1037" s="239"/>
    </row>
    <row r="1038" spans="1:8" ht="18" customHeight="1">
      <c r="A1038" s="239"/>
      <c r="B1038" s="239"/>
      <c r="C1038" s="239"/>
      <c r="D1038" s="239"/>
      <c r="E1038" s="239"/>
      <c r="F1038" s="239"/>
      <c r="G1038" s="239"/>
      <c r="H1038" s="239"/>
    </row>
    <row r="1039" spans="1:8" ht="18" customHeight="1">
      <c r="A1039" s="239"/>
      <c r="B1039" s="239"/>
      <c r="C1039" s="239"/>
      <c r="D1039" s="239"/>
      <c r="E1039" s="239"/>
      <c r="F1039" s="239"/>
      <c r="G1039" s="239"/>
      <c r="H1039" s="239"/>
    </row>
    <row r="1040" spans="1:8" ht="18" customHeight="1">
      <c r="A1040" s="239"/>
      <c r="B1040" s="239"/>
      <c r="C1040" s="239"/>
      <c r="D1040" s="239"/>
      <c r="E1040" s="239"/>
      <c r="F1040" s="239"/>
      <c r="G1040" s="239"/>
      <c r="H1040" s="239"/>
    </row>
    <row r="1041" spans="1:8" ht="18" customHeight="1">
      <c r="A1041" s="239"/>
      <c r="B1041" s="239"/>
      <c r="C1041" s="239"/>
      <c r="D1041" s="239"/>
      <c r="E1041" s="239"/>
      <c r="F1041" s="239"/>
      <c r="G1041" s="239"/>
      <c r="H1041" s="239"/>
    </row>
    <row r="1042" spans="1:8" ht="18" customHeight="1">
      <c r="A1042" s="239"/>
      <c r="B1042" s="239"/>
      <c r="C1042" s="239"/>
      <c r="D1042" s="239"/>
      <c r="E1042" s="239"/>
      <c r="F1042" s="239"/>
      <c r="G1042" s="239"/>
      <c r="H1042" s="239"/>
    </row>
    <row r="1043" spans="1:8" ht="18" customHeight="1">
      <c r="A1043" s="239"/>
      <c r="B1043" s="239"/>
      <c r="C1043" s="239"/>
      <c r="D1043" s="239"/>
      <c r="E1043" s="239"/>
      <c r="F1043" s="239"/>
      <c r="G1043" s="239"/>
      <c r="H1043" s="239"/>
    </row>
    <row r="1044" spans="1:8" ht="18" customHeight="1">
      <c r="A1044" s="239"/>
      <c r="B1044" s="239"/>
      <c r="C1044" s="239"/>
      <c r="D1044" s="239"/>
      <c r="E1044" s="239"/>
      <c r="F1044" s="239"/>
      <c r="G1044" s="239"/>
      <c r="H1044" s="239"/>
    </row>
    <row r="1045" spans="1:8" ht="18" customHeight="1">
      <c r="A1045" s="239"/>
      <c r="B1045" s="239"/>
      <c r="C1045" s="239"/>
      <c r="D1045" s="239"/>
      <c r="E1045" s="239"/>
      <c r="F1045" s="239"/>
      <c r="G1045" s="239"/>
      <c r="H1045" s="239"/>
    </row>
    <row r="1046" spans="1:8" ht="18" customHeight="1">
      <c r="A1046" s="239"/>
      <c r="B1046" s="239"/>
      <c r="C1046" s="239"/>
      <c r="D1046" s="239"/>
      <c r="E1046" s="239"/>
      <c r="F1046" s="239"/>
      <c r="G1046" s="239"/>
      <c r="H1046" s="239"/>
    </row>
    <row r="1047" spans="1:8" ht="18" customHeight="1">
      <c r="A1047" s="239"/>
      <c r="B1047" s="239"/>
      <c r="C1047" s="239"/>
      <c r="D1047" s="239"/>
      <c r="E1047" s="239"/>
      <c r="F1047" s="239"/>
      <c r="G1047" s="239"/>
      <c r="H1047" s="239"/>
    </row>
    <row r="1048" spans="1:8" ht="18" customHeight="1">
      <c r="A1048" s="239"/>
      <c r="B1048" s="239"/>
      <c r="C1048" s="239"/>
      <c r="D1048" s="239"/>
      <c r="E1048" s="239"/>
      <c r="F1048" s="239"/>
      <c r="G1048" s="239"/>
      <c r="H1048" s="239"/>
    </row>
    <row r="1049" spans="1:8" ht="18" customHeight="1">
      <c r="A1049" s="239"/>
      <c r="B1049" s="239"/>
      <c r="C1049" s="239"/>
      <c r="D1049" s="239"/>
      <c r="E1049" s="239"/>
      <c r="F1049" s="239"/>
      <c r="G1049" s="239"/>
      <c r="H1049" s="239"/>
    </row>
    <row r="1050" spans="1:8" ht="18" customHeight="1">
      <c r="A1050" s="239"/>
      <c r="B1050" s="239"/>
      <c r="C1050" s="239"/>
      <c r="D1050" s="239"/>
      <c r="E1050" s="239"/>
      <c r="F1050" s="239"/>
      <c r="G1050" s="239"/>
      <c r="H1050" s="239"/>
    </row>
    <row r="1051" spans="1:8" ht="18" customHeight="1">
      <c r="A1051" s="239"/>
      <c r="B1051" s="239"/>
      <c r="C1051" s="239"/>
      <c r="D1051" s="239"/>
      <c r="E1051" s="239"/>
      <c r="F1051" s="239"/>
      <c r="G1051" s="239"/>
      <c r="H1051" s="239"/>
    </row>
    <row r="1052" spans="1:8" ht="18" customHeight="1">
      <c r="A1052" s="239"/>
      <c r="B1052" s="239"/>
      <c r="C1052" s="239"/>
      <c r="D1052" s="239"/>
      <c r="E1052" s="239"/>
      <c r="F1052" s="239"/>
      <c r="G1052" s="239"/>
      <c r="H1052" s="239"/>
    </row>
    <row r="1053" spans="1:8" ht="18" customHeight="1">
      <c r="A1053" s="239"/>
      <c r="B1053" s="239"/>
      <c r="C1053" s="239"/>
      <c r="D1053" s="239"/>
      <c r="E1053" s="239"/>
      <c r="F1053" s="239"/>
      <c r="G1053" s="239"/>
      <c r="H1053" s="239"/>
    </row>
    <row r="1054" spans="1:8" ht="18" customHeight="1">
      <c r="A1054" s="239"/>
      <c r="B1054" s="239"/>
      <c r="C1054" s="239"/>
      <c r="D1054" s="239"/>
      <c r="E1054" s="239"/>
      <c r="F1054" s="239"/>
      <c r="G1054" s="239"/>
      <c r="H1054" s="239"/>
    </row>
    <row r="1055" spans="1:8" ht="18" customHeight="1">
      <c r="A1055" s="239"/>
      <c r="B1055" s="239"/>
      <c r="C1055" s="239"/>
      <c r="D1055" s="239"/>
      <c r="E1055" s="239"/>
      <c r="F1055" s="239"/>
      <c r="G1055" s="239"/>
      <c r="H1055" s="239"/>
    </row>
    <row r="1056" spans="1:8" ht="18" customHeight="1">
      <c r="A1056" s="239"/>
      <c r="B1056" s="239"/>
      <c r="C1056" s="239"/>
      <c r="D1056" s="239"/>
      <c r="E1056" s="239"/>
      <c r="F1056" s="239"/>
      <c r="G1056" s="239"/>
      <c r="H1056" s="239"/>
    </row>
    <row r="1057" spans="1:8" ht="18" customHeight="1">
      <c r="A1057" s="239"/>
      <c r="B1057" s="239"/>
      <c r="C1057" s="239"/>
      <c r="D1057" s="239"/>
      <c r="E1057" s="239"/>
      <c r="F1057" s="239"/>
      <c r="G1057" s="239"/>
      <c r="H1057" s="239"/>
    </row>
    <row r="1058" spans="1:8" ht="18" customHeight="1">
      <c r="A1058" s="239"/>
      <c r="B1058" s="239"/>
      <c r="C1058" s="239"/>
      <c r="D1058" s="239"/>
      <c r="E1058" s="239"/>
      <c r="F1058" s="239"/>
      <c r="G1058" s="239"/>
      <c r="H1058" s="239"/>
    </row>
    <row r="1059" spans="1:8" ht="18" customHeight="1">
      <c r="A1059" s="239"/>
      <c r="B1059" s="239"/>
      <c r="C1059" s="239"/>
      <c r="D1059" s="239"/>
      <c r="E1059" s="239"/>
      <c r="F1059" s="239"/>
      <c r="G1059" s="239"/>
      <c r="H1059" s="239"/>
    </row>
    <row r="1060" spans="1:8" ht="18" customHeight="1">
      <c r="A1060" s="239"/>
      <c r="B1060" s="239"/>
      <c r="C1060" s="239"/>
      <c r="D1060" s="239"/>
      <c r="E1060" s="239"/>
      <c r="F1060" s="239"/>
      <c r="G1060" s="239"/>
      <c r="H1060" s="239"/>
    </row>
    <row r="1061" spans="1:8" ht="18" customHeight="1">
      <c r="A1061" s="239"/>
      <c r="B1061" s="239"/>
      <c r="C1061" s="239"/>
      <c r="D1061" s="239"/>
      <c r="E1061" s="239"/>
      <c r="F1061" s="239"/>
      <c r="G1061" s="239"/>
      <c r="H1061" s="239"/>
    </row>
    <row r="1062" spans="1:8" ht="18" customHeight="1">
      <c r="A1062" s="239"/>
      <c r="B1062" s="239"/>
      <c r="C1062" s="239"/>
      <c r="D1062" s="239"/>
      <c r="E1062" s="239"/>
      <c r="F1062" s="239"/>
      <c r="G1062" s="239"/>
      <c r="H1062" s="239"/>
    </row>
    <row r="1063" spans="1:8" ht="18" customHeight="1">
      <c r="A1063" s="239"/>
      <c r="B1063" s="239"/>
      <c r="C1063" s="239"/>
      <c r="D1063" s="239"/>
      <c r="E1063" s="239"/>
      <c r="F1063" s="239"/>
      <c r="G1063" s="239"/>
      <c r="H1063" s="239"/>
    </row>
    <row r="1064" spans="1:8" ht="18" customHeight="1">
      <c r="A1064" s="239"/>
      <c r="B1064" s="239"/>
      <c r="C1064" s="239"/>
      <c r="D1064" s="239"/>
      <c r="E1064" s="239"/>
      <c r="F1064" s="239"/>
      <c r="G1064" s="239"/>
      <c r="H1064" s="239"/>
    </row>
    <row r="1065" spans="1:8" ht="18" customHeight="1">
      <c r="A1065" s="239"/>
      <c r="B1065" s="239"/>
      <c r="C1065" s="239"/>
      <c r="D1065" s="239"/>
      <c r="E1065" s="239"/>
      <c r="F1065" s="239"/>
      <c r="G1065" s="239"/>
      <c r="H1065" s="239"/>
    </row>
    <row r="1066" spans="1:8" ht="18" customHeight="1">
      <c r="A1066" s="239"/>
      <c r="B1066" s="239"/>
      <c r="C1066" s="239"/>
      <c r="D1066" s="239"/>
      <c r="E1066" s="239"/>
      <c r="F1066" s="239"/>
      <c r="G1066" s="239"/>
      <c r="H1066" s="239"/>
    </row>
    <row r="1067" spans="1:8" ht="18" customHeight="1">
      <c r="A1067" s="239"/>
      <c r="B1067" s="239"/>
      <c r="C1067" s="239"/>
      <c r="D1067" s="239"/>
      <c r="E1067" s="239"/>
      <c r="F1067" s="239"/>
      <c r="G1067" s="239"/>
      <c r="H1067" s="239"/>
    </row>
    <row r="1068" spans="1:8" ht="18" customHeight="1">
      <c r="A1068" s="239"/>
      <c r="B1068" s="239"/>
      <c r="C1068" s="239"/>
      <c r="D1068" s="239"/>
      <c r="E1068" s="239"/>
      <c r="F1068" s="239"/>
      <c r="G1068" s="239"/>
      <c r="H1068" s="239"/>
    </row>
    <row r="1069" spans="1:8" ht="18" customHeight="1">
      <c r="A1069" s="239"/>
      <c r="B1069" s="239"/>
      <c r="C1069" s="239"/>
      <c r="D1069" s="239"/>
      <c r="E1069" s="239"/>
      <c r="F1069" s="239"/>
      <c r="G1069" s="239"/>
      <c r="H1069" s="239"/>
    </row>
    <row r="1070" spans="1:8" ht="18" customHeight="1">
      <c r="A1070" s="239"/>
      <c r="B1070" s="239"/>
      <c r="C1070" s="239"/>
      <c r="D1070" s="239"/>
      <c r="E1070" s="239"/>
      <c r="F1070" s="239"/>
      <c r="G1070" s="239"/>
      <c r="H1070" s="239"/>
    </row>
    <row r="1071" spans="1:8" ht="18" customHeight="1">
      <c r="A1071" s="239"/>
      <c r="B1071" s="239"/>
      <c r="C1071" s="239"/>
      <c r="D1071" s="239"/>
      <c r="E1071" s="239"/>
      <c r="F1071" s="239"/>
      <c r="G1071" s="239"/>
      <c r="H1071" s="239"/>
    </row>
    <row r="1072" spans="1:8" ht="18" customHeight="1">
      <c r="A1072" s="239"/>
      <c r="B1072" s="239"/>
      <c r="C1072" s="239"/>
      <c r="D1072" s="239"/>
      <c r="E1072" s="239"/>
      <c r="F1072" s="239"/>
      <c r="G1072" s="239"/>
      <c r="H1072" s="239"/>
    </row>
    <row r="1073" spans="1:8" ht="18" customHeight="1">
      <c r="A1073" s="239"/>
      <c r="B1073" s="239"/>
      <c r="C1073" s="239"/>
      <c r="D1073" s="239"/>
      <c r="E1073" s="239"/>
      <c r="F1073" s="239"/>
      <c r="G1073" s="239"/>
      <c r="H1073" s="239"/>
    </row>
    <row r="1074" spans="1:8" ht="18" customHeight="1">
      <c r="A1074" s="239"/>
      <c r="B1074" s="239"/>
      <c r="C1074" s="239"/>
      <c r="D1074" s="239"/>
      <c r="E1074" s="239"/>
      <c r="F1074" s="239"/>
      <c r="G1074" s="239"/>
      <c r="H1074" s="239"/>
    </row>
    <row r="1075" spans="1:8" ht="18" customHeight="1">
      <c r="A1075" s="239"/>
      <c r="B1075" s="239"/>
      <c r="C1075" s="239"/>
      <c r="D1075" s="239"/>
      <c r="E1075" s="239"/>
      <c r="F1075" s="239"/>
      <c r="G1075" s="239"/>
      <c r="H1075" s="239"/>
    </row>
    <row r="1076" spans="1:8" ht="18" customHeight="1">
      <c r="A1076" s="239"/>
      <c r="B1076" s="239"/>
      <c r="C1076" s="239"/>
      <c r="D1076" s="239"/>
      <c r="E1076" s="239"/>
      <c r="F1076" s="239"/>
      <c r="G1076" s="239"/>
      <c r="H1076" s="239"/>
    </row>
    <row r="1077" spans="1:8" ht="18" customHeight="1">
      <c r="A1077" s="239"/>
      <c r="B1077" s="239"/>
      <c r="C1077" s="239"/>
      <c r="D1077" s="239"/>
      <c r="E1077" s="239"/>
      <c r="F1077" s="239"/>
      <c r="G1077" s="239"/>
      <c r="H1077" s="239"/>
    </row>
    <row r="1078" spans="1:8" ht="18" customHeight="1">
      <c r="A1078" s="239"/>
      <c r="B1078" s="239"/>
      <c r="C1078" s="239"/>
      <c r="D1078" s="239"/>
      <c r="E1078" s="239"/>
      <c r="F1078" s="239"/>
      <c r="G1078" s="239"/>
      <c r="H1078" s="239"/>
    </row>
    <row r="1079" spans="1:8" ht="18" customHeight="1">
      <c r="A1079" s="239"/>
      <c r="B1079" s="239"/>
      <c r="C1079" s="239"/>
      <c r="D1079" s="239"/>
      <c r="E1079" s="239"/>
      <c r="F1079" s="239"/>
      <c r="G1079" s="239"/>
      <c r="H1079" s="239"/>
    </row>
    <row r="1080" spans="1:8" ht="18" customHeight="1">
      <c r="A1080" s="239"/>
      <c r="B1080" s="239"/>
      <c r="C1080" s="239"/>
      <c r="D1080" s="239"/>
      <c r="E1080" s="239"/>
      <c r="F1080" s="239"/>
      <c r="G1080" s="239"/>
      <c r="H1080" s="239"/>
    </row>
    <row r="1081" spans="1:8" ht="18" customHeight="1">
      <c r="A1081" s="239"/>
      <c r="B1081" s="239"/>
      <c r="C1081" s="239"/>
      <c r="D1081" s="239"/>
      <c r="E1081" s="239"/>
      <c r="F1081" s="239"/>
      <c r="G1081" s="239"/>
      <c r="H1081" s="239"/>
    </row>
    <row r="1082" spans="1:8" ht="18" customHeight="1">
      <c r="A1082" s="239"/>
      <c r="B1082" s="239"/>
      <c r="C1082" s="239"/>
      <c r="D1082" s="239"/>
      <c r="E1082" s="239"/>
      <c r="F1082" s="239"/>
      <c r="G1082" s="239"/>
      <c r="H1082" s="239"/>
    </row>
    <row r="1083" spans="1:8" ht="18" customHeight="1">
      <c r="A1083" s="239"/>
      <c r="B1083" s="239"/>
      <c r="C1083" s="239"/>
      <c r="D1083" s="239"/>
      <c r="E1083" s="239"/>
      <c r="F1083" s="239"/>
      <c r="G1083" s="239"/>
      <c r="H1083" s="239"/>
    </row>
    <row r="1084" spans="1:8" ht="18" customHeight="1">
      <c r="A1084" s="239"/>
      <c r="B1084" s="239"/>
      <c r="C1084" s="239"/>
      <c r="D1084" s="239"/>
      <c r="E1084" s="239"/>
      <c r="F1084" s="239"/>
      <c r="G1084" s="239"/>
      <c r="H1084" s="239"/>
    </row>
    <row r="1085" spans="1:8" ht="18" customHeight="1">
      <c r="A1085" s="239"/>
      <c r="B1085" s="239"/>
      <c r="C1085" s="239"/>
      <c r="D1085" s="239"/>
      <c r="E1085" s="239"/>
      <c r="F1085" s="239"/>
      <c r="G1085" s="239"/>
      <c r="H1085" s="239"/>
    </row>
    <row r="1086" spans="1:8" ht="18" customHeight="1">
      <c r="A1086" s="239"/>
      <c r="B1086" s="239"/>
      <c r="C1086" s="239"/>
      <c r="D1086" s="239"/>
      <c r="E1086" s="239"/>
      <c r="F1086" s="239"/>
      <c r="G1086" s="239"/>
      <c r="H1086" s="239"/>
    </row>
    <row r="1087" spans="1:8" ht="18" customHeight="1">
      <c r="A1087" s="239"/>
      <c r="B1087" s="239"/>
      <c r="C1087" s="239"/>
      <c r="D1087" s="239"/>
      <c r="E1087" s="239"/>
      <c r="F1087" s="239"/>
      <c r="G1087" s="239"/>
      <c r="H1087" s="239"/>
    </row>
    <row r="1088" spans="1:8" ht="18" customHeight="1">
      <c r="A1088" s="239"/>
      <c r="B1088" s="239"/>
      <c r="C1088" s="239"/>
      <c r="D1088" s="239"/>
      <c r="E1088" s="239"/>
      <c r="F1088" s="239"/>
      <c r="G1088" s="239"/>
      <c r="H1088" s="239"/>
    </row>
    <row r="1089" spans="1:8" ht="18" customHeight="1">
      <c r="A1089" s="239"/>
      <c r="B1089" s="239"/>
      <c r="C1089" s="239"/>
      <c r="D1089" s="239"/>
      <c r="E1089" s="239"/>
      <c r="F1089" s="239"/>
      <c r="G1089" s="239"/>
      <c r="H1089" s="239"/>
    </row>
    <row r="1090" spans="1:8" ht="18" customHeight="1">
      <c r="A1090" s="239"/>
      <c r="B1090" s="239"/>
      <c r="C1090" s="239"/>
      <c r="D1090" s="239"/>
      <c r="E1090" s="239"/>
      <c r="F1090" s="239"/>
      <c r="G1090" s="239"/>
      <c r="H1090" s="239"/>
    </row>
    <row r="1091" spans="1:8" ht="18" customHeight="1">
      <c r="A1091" s="239"/>
      <c r="B1091" s="239"/>
      <c r="C1091" s="239"/>
      <c r="D1091" s="239"/>
      <c r="E1091" s="239"/>
      <c r="F1091" s="239"/>
      <c r="G1091" s="239"/>
      <c r="H1091" s="239"/>
    </row>
    <row r="1092" spans="1:8" ht="18" customHeight="1">
      <c r="A1092" s="239"/>
      <c r="B1092" s="239"/>
      <c r="C1092" s="239"/>
      <c r="D1092" s="239"/>
      <c r="E1092" s="239"/>
      <c r="F1092" s="239"/>
      <c r="G1092" s="239"/>
      <c r="H1092" s="239"/>
    </row>
    <row r="1093" spans="1:8" ht="18" customHeight="1">
      <c r="A1093" s="239"/>
      <c r="B1093" s="239"/>
      <c r="C1093" s="239"/>
      <c r="D1093" s="239"/>
      <c r="E1093" s="239"/>
      <c r="F1093" s="239"/>
      <c r="G1093" s="239"/>
      <c r="H1093" s="239"/>
    </row>
    <row r="1094" spans="1:8" ht="18" customHeight="1">
      <c r="A1094" s="239"/>
      <c r="B1094" s="239"/>
      <c r="C1094" s="239"/>
      <c r="D1094" s="239"/>
      <c r="E1094" s="239"/>
      <c r="F1094" s="239"/>
      <c r="G1094" s="239"/>
      <c r="H1094" s="239"/>
    </row>
    <row r="1095" spans="1:8" ht="18" customHeight="1">
      <c r="A1095" s="239"/>
      <c r="B1095" s="239"/>
      <c r="C1095" s="239"/>
      <c r="D1095" s="239"/>
      <c r="E1095" s="239"/>
      <c r="F1095" s="239"/>
      <c r="G1095" s="239"/>
      <c r="H1095" s="239"/>
    </row>
    <row r="1096" spans="1:8" ht="18" customHeight="1">
      <c r="A1096" s="239"/>
      <c r="B1096" s="239"/>
      <c r="C1096" s="239"/>
      <c r="D1096" s="239"/>
      <c r="E1096" s="239"/>
      <c r="F1096" s="239"/>
      <c r="G1096" s="239"/>
      <c r="H1096" s="239"/>
    </row>
    <row r="1097" spans="1:8" ht="18" customHeight="1">
      <c r="A1097" s="239"/>
      <c r="B1097" s="239"/>
      <c r="C1097" s="239"/>
      <c r="D1097" s="239"/>
      <c r="E1097" s="239"/>
      <c r="F1097" s="239"/>
      <c r="G1097" s="239"/>
      <c r="H1097" s="239"/>
    </row>
    <row r="1098" spans="1:8" ht="18" customHeight="1">
      <c r="A1098" s="239"/>
      <c r="B1098" s="239"/>
      <c r="C1098" s="239"/>
      <c r="D1098" s="239"/>
      <c r="E1098" s="239"/>
      <c r="F1098" s="239"/>
      <c r="G1098" s="239"/>
      <c r="H1098" s="239"/>
    </row>
    <row r="1099" spans="1:8" ht="18" customHeight="1">
      <c r="A1099" s="239"/>
      <c r="B1099" s="239"/>
      <c r="C1099" s="239"/>
      <c r="D1099" s="239"/>
      <c r="E1099" s="239"/>
      <c r="F1099" s="239"/>
      <c r="G1099" s="239"/>
      <c r="H1099" s="239"/>
    </row>
    <row r="1100" spans="1:8" ht="18" customHeight="1">
      <c r="A1100" s="239"/>
      <c r="B1100" s="239"/>
      <c r="C1100" s="239"/>
      <c r="D1100" s="239"/>
      <c r="E1100" s="239"/>
      <c r="F1100" s="239"/>
      <c r="G1100" s="239"/>
      <c r="H1100" s="239"/>
    </row>
    <row r="1101" spans="1:8" ht="18" customHeight="1">
      <c r="A1101" s="239"/>
      <c r="B1101" s="239"/>
      <c r="C1101" s="239"/>
      <c r="D1101" s="239"/>
      <c r="E1101" s="239"/>
      <c r="F1101" s="239"/>
      <c r="G1101" s="239"/>
      <c r="H1101" s="239"/>
    </row>
    <row r="1102" spans="1:8" ht="18" customHeight="1">
      <c r="A1102" s="239"/>
      <c r="B1102" s="239"/>
      <c r="C1102" s="239"/>
      <c r="D1102" s="239"/>
      <c r="E1102" s="239"/>
      <c r="F1102" s="239"/>
      <c r="G1102" s="239"/>
      <c r="H1102" s="239"/>
    </row>
    <row r="1103" spans="1:8" ht="18" customHeight="1">
      <c r="A1103" s="239"/>
      <c r="B1103" s="239"/>
      <c r="C1103" s="239"/>
      <c r="D1103" s="239"/>
      <c r="E1103" s="239"/>
      <c r="F1103" s="239"/>
      <c r="G1103" s="239"/>
      <c r="H1103" s="239"/>
    </row>
    <row r="1104" spans="1:8" ht="18" customHeight="1">
      <c r="A1104" s="239"/>
      <c r="B1104" s="239"/>
      <c r="C1104" s="239"/>
      <c r="D1104" s="239"/>
      <c r="E1104" s="239"/>
      <c r="F1104" s="239"/>
      <c r="G1104" s="239"/>
      <c r="H1104" s="239"/>
    </row>
    <row r="1105" spans="1:8" ht="18" customHeight="1">
      <c r="A1105" s="239"/>
      <c r="B1105" s="239"/>
      <c r="C1105" s="239"/>
      <c r="D1105" s="239"/>
      <c r="E1105" s="239"/>
      <c r="F1105" s="239"/>
      <c r="G1105" s="239"/>
      <c r="H1105" s="239"/>
    </row>
    <row r="1106" spans="1:8" ht="18" customHeight="1">
      <c r="A1106" s="239"/>
      <c r="B1106" s="239"/>
      <c r="C1106" s="239"/>
      <c r="D1106" s="239"/>
      <c r="E1106" s="239"/>
      <c r="F1106" s="239"/>
      <c r="G1106" s="239"/>
      <c r="H1106" s="239"/>
    </row>
    <row r="1107" spans="1:8" ht="18" customHeight="1">
      <c r="A1107" s="239"/>
      <c r="B1107" s="239"/>
      <c r="C1107" s="239"/>
      <c r="D1107" s="239"/>
      <c r="E1107" s="239"/>
      <c r="F1107" s="239"/>
      <c r="G1107" s="239"/>
      <c r="H1107" s="239"/>
    </row>
    <row r="1108" spans="1:8" ht="18" customHeight="1">
      <c r="A1108" s="239"/>
      <c r="B1108" s="239"/>
      <c r="C1108" s="239"/>
      <c r="D1108" s="239"/>
      <c r="E1108" s="239"/>
      <c r="F1108" s="239"/>
      <c r="G1108" s="239"/>
      <c r="H1108" s="239"/>
    </row>
    <row r="1109" spans="1:8" ht="18" customHeight="1">
      <c r="A1109" s="239"/>
      <c r="B1109" s="239"/>
      <c r="C1109" s="239"/>
      <c r="D1109" s="239"/>
      <c r="E1109" s="239"/>
      <c r="F1109" s="239"/>
      <c r="G1109" s="239"/>
      <c r="H1109" s="239"/>
    </row>
    <row r="1110" spans="1:8" ht="18" customHeight="1">
      <c r="A1110" s="239"/>
      <c r="B1110" s="239"/>
      <c r="C1110" s="239"/>
      <c r="D1110" s="239"/>
      <c r="E1110" s="239"/>
      <c r="F1110" s="239"/>
      <c r="G1110" s="239"/>
      <c r="H1110" s="239"/>
    </row>
    <row r="1111" spans="1:8" ht="18" customHeight="1">
      <c r="A1111" s="239"/>
      <c r="B1111" s="239"/>
      <c r="C1111" s="239"/>
      <c r="D1111" s="239"/>
      <c r="E1111" s="239"/>
      <c r="F1111" s="239"/>
      <c r="G1111" s="239"/>
      <c r="H1111" s="239"/>
    </row>
    <row r="1112" spans="1:8" ht="18" customHeight="1">
      <c r="A1112" s="239"/>
      <c r="B1112" s="239"/>
      <c r="C1112" s="239"/>
      <c r="D1112" s="239"/>
      <c r="E1112" s="239"/>
      <c r="F1112" s="239"/>
      <c r="G1112" s="239"/>
      <c r="H1112" s="239"/>
    </row>
    <row r="1113" spans="1:8" ht="18" customHeight="1">
      <c r="A1113" s="239"/>
      <c r="B1113" s="239"/>
      <c r="C1113" s="239"/>
      <c r="D1113" s="239"/>
      <c r="E1113" s="239"/>
      <c r="F1113" s="239"/>
      <c r="G1113" s="239"/>
      <c r="H1113" s="239"/>
    </row>
    <row r="1114" spans="1:8" ht="18" customHeight="1">
      <c r="A1114" s="239"/>
      <c r="B1114" s="239"/>
      <c r="C1114" s="239"/>
      <c r="D1114" s="239"/>
      <c r="E1114" s="239"/>
      <c r="F1114" s="239"/>
      <c r="G1114" s="239"/>
      <c r="H1114" s="239"/>
    </row>
    <row r="1115" spans="1:8" ht="18" customHeight="1">
      <c r="A1115" s="239"/>
      <c r="B1115" s="239"/>
      <c r="C1115" s="239"/>
      <c r="D1115" s="239"/>
      <c r="E1115" s="239"/>
      <c r="F1115" s="239"/>
      <c r="G1115" s="239"/>
      <c r="H1115" s="239"/>
    </row>
    <row r="1116" spans="1:8" ht="18" customHeight="1">
      <c r="A1116" s="239"/>
      <c r="B1116" s="239"/>
      <c r="C1116" s="239"/>
      <c r="D1116" s="239"/>
      <c r="E1116" s="239"/>
      <c r="F1116" s="239"/>
      <c r="G1116" s="239"/>
      <c r="H1116" s="239"/>
    </row>
    <row r="1117" spans="1:8" ht="18" customHeight="1">
      <c r="A1117" s="239"/>
      <c r="B1117" s="239"/>
      <c r="C1117" s="239"/>
      <c r="D1117" s="239"/>
      <c r="E1117" s="239"/>
      <c r="F1117" s="239"/>
      <c r="G1117" s="239"/>
      <c r="H1117" s="239"/>
    </row>
    <row r="1118" spans="1:8" ht="18" customHeight="1">
      <c r="A1118" s="239"/>
      <c r="B1118" s="239"/>
      <c r="C1118" s="239"/>
      <c r="D1118" s="239"/>
      <c r="E1118" s="239"/>
      <c r="F1118" s="239"/>
      <c r="G1118" s="239"/>
      <c r="H1118" s="239"/>
    </row>
    <row r="1119" spans="1:8" ht="18" customHeight="1">
      <c r="A1119" s="239"/>
      <c r="B1119" s="239"/>
      <c r="C1119" s="239"/>
      <c r="D1119" s="239"/>
      <c r="E1119" s="239"/>
      <c r="F1119" s="239"/>
      <c r="G1119" s="239"/>
      <c r="H1119" s="239"/>
    </row>
    <row r="1120" spans="1:8" ht="18" customHeight="1">
      <c r="A1120" s="239"/>
      <c r="B1120" s="239"/>
      <c r="C1120" s="239"/>
      <c r="D1120" s="239"/>
      <c r="E1120" s="239"/>
      <c r="F1120" s="239"/>
      <c r="G1120" s="239"/>
      <c r="H1120" s="239"/>
    </row>
    <row r="1121" spans="1:8" ht="18" customHeight="1">
      <c r="A1121" s="239"/>
      <c r="B1121" s="239"/>
      <c r="C1121" s="239"/>
      <c r="D1121" s="239"/>
      <c r="E1121" s="239"/>
      <c r="F1121" s="239"/>
      <c r="G1121" s="239"/>
      <c r="H1121" s="239"/>
    </row>
    <row r="1122" spans="1:8" ht="18" customHeight="1">
      <c r="A1122" s="239"/>
      <c r="B1122" s="239"/>
      <c r="C1122" s="239"/>
      <c r="D1122" s="239"/>
      <c r="E1122" s="239"/>
      <c r="F1122" s="239"/>
      <c r="G1122" s="239"/>
      <c r="H1122" s="239"/>
    </row>
    <row r="1123" spans="1:8" ht="18" customHeight="1">
      <c r="A1123" s="239"/>
      <c r="B1123" s="239"/>
      <c r="C1123" s="239"/>
      <c r="D1123" s="239"/>
      <c r="E1123" s="239"/>
      <c r="F1123" s="239"/>
      <c r="G1123" s="239"/>
      <c r="H1123" s="239"/>
    </row>
    <row r="1124" spans="1:8" ht="18" customHeight="1">
      <c r="A1124" s="239"/>
      <c r="B1124" s="239"/>
      <c r="C1124" s="239"/>
      <c r="D1124" s="239"/>
      <c r="E1124" s="239"/>
      <c r="F1124" s="239"/>
      <c r="G1124" s="239"/>
      <c r="H1124" s="239"/>
    </row>
    <row r="1125" spans="1:8" ht="18" customHeight="1">
      <c r="A1125" s="239"/>
      <c r="B1125" s="239"/>
      <c r="C1125" s="239"/>
      <c r="D1125" s="239"/>
      <c r="E1125" s="239"/>
      <c r="F1125" s="239"/>
      <c r="G1125" s="239"/>
      <c r="H1125" s="239"/>
    </row>
    <row r="1126" spans="1:8" ht="18" customHeight="1">
      <c r="A1126" s="239"/>
      <c r="B1126" s="239"/>
      <c r="C1126" s="239"/>
      <c r="D1126" s="239"/>
      <c r="E1126" s="239"/>
      <c r="F1126" s="239"/>
      <c r="G1126" s="239"/>
      <c r="H1126" s="239"/>
    </row>
    <row r="1127" spans="1:8" ht="18" customHeight="1">
      <c r="A1127" s="239"/>
      <c r="B1127" s="239"/>
      <c r="C1127" s="239"/>
      <c r="D1127" s="239"/>
      <c r="E1127" s="239"/>
      <c r="F1127" s="239"/>
      <c r="G1127" s="239"/>
      <c r="H1127" s="239"/>
    </row>
    <row r="1128" spans="1:8" ht="18" customHeight="1">
      <c r="A1128" s="239"/>
      <c r="B1128" s="239"/>
      <c r="C1128" s="239"/>
      <c r="D1128" s="239"/>
      <c r="E1128" s="239"/>
      <c r="F1128" s="239"/>
      <c r="G1128" s="239"/>
      <c r="H1128" s="239"/>
    </row>
    <row r="1129" spans="1:8" ht="18" customHeight="1">
      <c r="A1129" s="239"/>
      <c r="B1129" s="239"/>
      <c r="C1129" s="239"/>
      <c r="D1129" s="239"/>
      <c r="E1129" s="239"/>
      <c r="F1129" s="239"/>
      <c r="G1129" s="239"/>
      <c r="H1129" s="239"/>
    </row>
    <row r="1130" spans="1:8" ht="18" customHeight="1">
      <c r="A1130" s="239"/>
      <c r="B1130" s="239"/>
      <c r="C1130" s="239"/>
      <c r="D1130" s="239"/>
      <c r="E1130" s="239"/>
      <c r="F1130" s="239"/>
      <c r="G1130" s="239"/>
      <c r="H1130" s="239"/>
    </row>
    <row r="1131" spans="1:8" ht="18" customHeight="1">
      <c r="A1131" s="239"/>
      <c r="B1131" s="239"/>
      <c r="C1131" s="239"/>
      <c r="D1131" s="239"/>
      <c r="E1131" s="239"/>
      <c r="F1131" s="239"/>
      <c r="G1131" s="239"/>
      <c r="H1131" s="239"/>
    </row>
    <row r="1132" spans="1:8" ht="18" customHeight="1">
      <c r="A1132" s="239"/>
      <c r="B1132" s="239"/>
      <c r="C1132" s="239"/>
      <c r="D1132" s="239"/>
      <c r="E1132" s="239"/>
      <c r="F1132" s="239"/>
      <c r="G1132" s="239"/>
      <c r="H1132" s="239"/>
    </row>
    <row r="1133" spans="1:8" ht="18" customHeight="1">
      <c r="A1133" s="239"/>
      <c r="B1133" s="239"/>
      <c r="C1133" s="239"/>
      <c r="D1133" s="239"/>
      <c r="E1133" s="239"/>
      <c r="F1133" s="239"/>
      <c r="G1133" s="239"/>
      <c r="H1133" s="239"/>
    </row>
    <row r="1134" spans="1:8" ht="18" customHeight="1">
      <c r="A1134" s="239"/>
      <c r="B1134" s="239"/>
      <c r="C1134" s="239"/>
      <c r="D1134" s="239"/>
      <c r="E1134" s="239"/>
      <c r="F1134" s="239"/>
      <c r="G1134" s="239"/>
      <c r="H1134" s="239"/>
    </row>
    <row r="1135" spans="1:8" ht="18" customHeight="1">
      <c r="A1135" s="239"/>
      <c r="B1135" s="239"/>
      <c r="C1135" s="239"/>
      <c r="D1135" s="239"/>
      <c r="E1135" s="239"/>
      <c r="F1135" s="239"/>
      <c r="G1135" s="239"/>
      <c r="H1135" s="239"/>
    </row>
    <row r="1136" spans="1:8" ht="18" customHeight="1">
      <c r="A1136" s="239"/>
      <c r="B1136" s="239"/>
      <c r="C1136" s="239"/>
      <c r="D1136" s="239"/>
      <c r="E1136" s="239"/>
      <c r="F1136" s="239"/>
      <c r="G1136" s="239"/>
      <c r="H1136" s="239"/>
    </row>
    <row r="1137" spans="1:8" ht="18" customHeight="1">
      <c r="A1137" s="239"/>
      <c r="B1137" s="239"/>
      <c r="C1137" s="239"/>
      <c r="D1137" s="239"/>
      <c r="E1137" s="239"/>
      <c r="F1137" s="239"/>
      <c r="G1137" s="239"/>
      <c r="H1137" s="239"/>
    </row>
    <row r="1138" spans="1:8" ht="18" customHeight="1">
      <c r="A1138" s="239"/>
      <c r="B1138" s="239"/>
      <c r="C1138" s="239"/>
      <c r="D1138" s="239"/>
      <c r="E1138" s="239"/>
      <c r="F1138" s="239"/>
      <c r="G1138" s="239"/>
      <c r="H1138" s="239"/>
    </row>
    <row r="1139" spans="1:8" ht="18" customHeight="1">
      <c r="A1139" s="239"/>
      <c r="B1139" s="239"/>
      <c r="C1139" s="239"/>
      <c r="D1139" s="239"/>
      <c r="E1139" s="239"/>
      <c r="F1139" s="239"/>
      <c r="G1139" s="239"/>
      <c r="H1139" s="239"/>
    </row>
    <row r="1140" spans="1:8" ht="18" customHeight="1">
      <c r="A1140" s="239"/>
      <c r="B1140" s="239"/>
      <c r="C1140" s="239"/>
      <c r="D1140" s="239"/>
      <c r="E1140" s="239"/>
      <c r="F1140" s="239"/>
      <c r="G1140" s="239"/>
      <c r="H1140" s="239"/>
    </row>
    <row r="1141" spans="1:8" ht="18" customHeight="1">
      <c r="A1141" s="239"/>
      <c r="B1141" s="239"/>
      <c r="C1141" s="239"/>
      <c r="D1141" s="239"/>
      <c r="E1141" s="239"/>
      <c r="F1141" s="239"/>
      <c r="G1141" s="239"/>
      <c r="H1141" s="239"/>
    </row>
    <row r="1142" spans="1:8" ht="18" customHeight="1">
      <c r="A1142" s="239"/>
      <c r="B1142" s="239"/>
      <c r="C1142" s="239"/>
      <c r="D1142" s="239"/>
      <c r="E1142" s="239"/>
      <c r="F1142" s="239"/>
      <c r="G1142" s="239"/>
      <c r="H1142" s="239"/>
    </row>
    <row r="1143" spans="1:8" ht="18" customHeight="1">
      <c r="A1143" s="239"/>
      <c r="B1143" s="239"/>
      <c r="C1143" s="239"/>
      <c r="D1143" s="239"/>
      <c r="E1143" s="239"/>
      <c r="F1143" s="239"/>
      <c r="G1143" s="239"/>
      <c r="H1143" s="239"/>
    </row>
    <row r="1144" spans="1:8" ht="18" customHeight="1">
      <c r="A1144" s="239"/>
      <c r="B1144" s="239"/>
      <c r="C1144" s="239"/>
      <c r="D1144" s="239"/>
      <c r="E1144" s="239"/>
      <c r="F1144" s="239"/>
      <c r="G1144" s="239"/>
      <c r="H1144" s="239"/>
    </row>
    <row r="1145" spans="1:8" ht="18" customHeight="1">
      <c r="A1145" s="239"/>
      <c r="B1145" s="239"/>
      <c r="C1145" s="239"/>
      <c r="D1145" s="239"/>
      <c r="E1145" s="239"/>
      <c r="F1145" s="239"/>
      <c r="G1145" s="239"/>
      <c r="H1145" s="239"/>
    </row>
    <row r="1146" spans="1:8" ht="18" customHeight="1">
      <c r="A1146" s="239"/>
      <c r="B1146" s="239"/>
      <c r="C1146" s="239"/>
      <c r="D1146" s="239"/>
      <c r="E1146" s="239"/>
      <c r="F1146" s="239"/>
      <c r="G1146" s="239"/>
      <c r="H1146" s="239"/>
    </row>
    <row r="1147" spans="1:8" ht="18" customHeight="1">
      <c r="A1147" s="239"/>
      <c r="B1147" s="239"/>
      <c r="C1147" s="239"/>
      <c r="D1147" s="239"/>
      <c r="E1147" s="239"/>
      <c r="F1147" s="239"/>
      <c r="G1147" s="239"/>
      <c r="H1147" s="239"/>
    </row>
    <row r="1148" spans="1:8" ht="18" customHeight="1">
      <c r="A1148" s="239"/>
      <c r="B1148" s="239"/>
      <c r="C1148" s="239"/>
      <c r="D1148" s="239"/>
      <c r="E1148" s="239"/>
      <c r="F1148" s="239"/>
      <c r="G1148" s="239"/>
      <c r="H1148" s="239"/>
    </row>
    <row r="1149" spans="1:8" ht="18" customHeight="1">
      <c r="A1149" s="239"/>
      <c r="B1149" s="239"/>
      <c r="C1149" s="239"/>
      <c r="D1149" s="239"/>
      <c r="E1149" s="239"/>
      <c r="F1149" s="239"/>
      <c r="G1149" s="239"/>
      <c r="H1149" s="239"/>
    </row>
    <row r="1150" spans="1:8" ht="18" customHeight="1">
      <c r="A1150" s="239"/>
      <c r="B1150" s="239"/>
      <c r="C1150" s="239"/>
      <c r="D1150" s="239"/>
      <c r="E1150" s="239"/>
      <c r="F1150" s="239"/>
      <c r="G1150" s="239"/>
      <c r="H1150" s="239"/>
    </row>
    <row r="1151" spans="1:8" ht="18" customHeight="1">
      <c r="A1151" s="239"/>
      <c r="B1151" s="239"/>
      <c r="C1151" s="239"/>
      <c r="D1151" s="239"/>
      <c r="E1151" s="239"/>
      <c r="F1151" s="239"/>
      <c r="G1151" s="239"/>
      <c r="H1151" s="239"/>
    </row>
    <row r="1152" spans="1:8" ht="18" customHeight="1">
      <c r="A1152" s="239"/>
      <c r="B1152" s="239"/>
      <c r="C1152" s="239"/>
      <c r="D1152" s="239"/>
      <c r="E1152" s="239"/>
      <c r="F1152" s="239"/>
      <c r="G1152" s="239"/>
      <c r="H1152" s="239"/>
    </row>
    <row r="1153" spans="1:8" ht="18" customHeight="1">
      <c r="A1153" s="239"/>
      <c r="B1153" s="239"/>
      <c r="C1153" s="239"/>
      <c r="D1153" s="239"/>
      <c r="E1153" s="239"/>
      <c r="F1153" s="239"/>
      <c r="G1153" s="239"/>
      <c r="H1153" s="239"/>
    </row>
    <row r="1154" spans="1:8" ht="18" customHeight="1">
      <c r="A1154" s="239"/>
      <c r="B1154" s="239"/>
      <c r="C1154" s="239"/>
      <c r="D1154" s="239"/>
      <c r="E1154" s="239"/>
      <c r="F1154" s="239"/>
      <c r="G1154" s="239"/>
      <c r="H1154" s="239"/>
    </row>
    <row r="1155" spans="1:8" ht="18" customHeight="1">
      <c r="A1155" s="239"/>
      <c r="B1155" s="239"/>
      <c r="C1155" s="239"/>
      <c r="D1155" s="239"/>
      <c r="E1155" s="239"/>
      <c r="F1155" s="239"/>
      <c r="G1155" s="239"/>
      <c r="H1155" s="239"/>
    </row>
    <row r="1156" spans="1:8" ht="18" customHeight="1">
      <c r="A1156" s="239"/>
      <c r="B1156" s="239"/>
      <c r="C1156" s="239"/>
      <c r="D1156" s="239"/>
      <c r="E1156" s="239"/>
      <c r="F1156" s="239"/>
      <c r="G1156" s="239"/>
      <c r="H1156" s="239"/>
    </row>
    <row r="1157" spans="1:8" ht="18" customHeight="1">
      <c r="A1157" s="239"/>
      <c r="B1157" s="239"/>
      <c r="C1157" s="239"/>
      <c r="D1157" s="239"/>
      <c r="E1157" s="239"/>
      <c r="F1157" s="239"/>
      <c r="G1157" s="239"/>
      <c r="H1157" s="239"/>
    </row>
    <row r="1158" spans="1:8" ht="18" customHeight="1">
      <c r="A1158" s="239"/>
      <c r="B1158" s="239"/>
      <c r="C1158" s="239"/>
      <c r="D1158" s="239"/>
      <c r="E1158" s="239"/>
      <c r="F1158" s="239"/>
      <c r="G1158" s="239"/>
      <c r="H1158" s="239"/>
    </row>
    <row r="1159" spans="1:8" ht="18" customHeight="1">
      <c r="A1159" s="239"/>
      <c r="B1159" s="239"/>
      <c r="C1159" s="239"/>
      <c r="D1159" s="239"/>
      <c r="E1159" s="239"/>
      <c r="F1159" s="239"/>
      <c r="G1159" s="239"/>
      <c r="H1159" s="239"/>
    </row>
    <row r="1160" spans="1:8" ht="18" customHeight="1">
      <c r="A1160" s="239"/>
      <c r="B1160" s="239"/>
      <c r="C1160" s="239"/>
      <c r="D1160" s="239"/>
      <c r="E1160" s="239"/>
      <c r="F1160" s="239"/>
      <c r="G1160" s="239"/>
      <c r="H1160" s="239"/>
    </row>
    <row r="1161" spans="1:8" ht="18" customHeight="1">
      <c r="A1161" s="239"/>
      <c r="B1161" s="239"/>
      <c r="C1161" s="239"/>
      <c r="D1161" s="239"/>
      <c r="E1161" s="239"/>
      <c r="F1161" s="239"/>
      <c r="G1161" s="239"/>
      <c r="H1161" s="239"/>
    </row>
    <row r="1162" spans="1:8" ht="18" customHeight="1">
      <c r="A1162" s="239"/>
      <c r="B1162" s="239"/>
      <c r="C1162" s="239"/>
      <c r="D1162" s="239"/>
      <c r="E1162" s="239"/>
      <c r="F1162" s="239"/>
      <c r="G1162" s="239"/>
      <c r="H1162" s="239"/>
    </row>
    <row r="1163" spans="1:8" ht="18" customHeight="1">
      <c r="A1163" s="239"/>
      <c r="B1163" s="239"/>
      <c r="C1163" s="239"/>
      <c r="D1163" s="239"/>
      <c r="E1163" s="239"/>
      <c r="F1163" s="239"/>
      <c r="G1163" s="239"/>
      <c r="H1163" s="239"/>
    </row>
    <row r="1164" spans="1:8" ht="18" customHeight="1">
      <c r="A1164" s="239"/>
      <c r="B1164" s="239"/>
      <c r="C1164" s="239"/>
      <c r="D1164" s="239"/>
      <c r="E1164" s="239"/>
      <c r="F1164" s="239"/>
      <c r="G1164" s="239"/>
      <c r="H1164" s="239"/>
    </row>
    <row r="1165" spans="1:8" ht="18" customHeight="1">
      <c r="A1165" s="239"/>
      <c r="B1165" s="239"/>
      <c r="C1165" s="239"/>
      <c r="D1165" s="239"/>
      <c r="E1165" s="239"/>
      <c r="F1165" s="239"/>
      <c r="G1165" s="239"/>
      <c r="H1165" s="239"/>
    </row>
    <row r="1166" spans="1:8" ht="18" customHeight="1">
      <c r="A1166" s="239"/>
      <c r="B1166" s="239"/>
      <c r="C1166" s="239"/>
      <c r="D1166" s="239"/>
      <c r="E1166" s="239"/>
      <c r="F1166" s="239"/>
      <c r="G1166" s="239"/>
      <c r="H1166" s="239"/>
    </row>
    <row r="1167" spans="1:8" ht="18" customHeight="1">
      <c r="A1167" s="239"/>
      <c r="B1167" s="239"/>
      <c r="C1167" s="239"/>
      <c r="D1167" s="239"/>
      <c r="E1167" s="239"/>
      <c r="F1167" s="239"/>
      <c r="G1167" s="239"/>
      <c r="H1167" s="239"/>
    </row>
    <row r="1168" spans="1:8" ht="18" customHeight="1">
      <c r="A1168" s="239"/>
      <c r="B1168" s="239"/>
      <c r="C1168" s="239"/>
      <c r="D1168" s="239"/>
      <c r="E1168" s="239"/>
      <c r="F1168" s="239"/>
      <c r="G1168" s="239"/>
      <c r="H1168" s="239"/>
    </row>
    <row r="1169" spans="1:8" ht="18" customHeight="1">
      <c r="A1169" s="239"/>
      <c r="B1169" s="239"/>
      <c r="C1169" s="239"/>
      <c r="D1169" s="239"/>
      <c r="E1169" s="239"/>
      <c r="F1169" s="239"/>
      <c r="G1169" s="239"/>
      <c r="H1169" s="239"/>
    </row>
    <row r="1170" spans="1:8" ht="18" customHeight="1">
      <c r="A1170" s="239"/>
      <c r="B1170" s="239"/>
      <c r="C1170" s="239"/>
      <c r="D1170" s="239"/>
      <c r="E1170" s="239"/>
      <c r="F1170" s="239"/>
      <c r="G1170" s="239"/>
      <c r="H1170" s="239"/>
    </row>
    <row r="1171" spans="1:8" ht="18" customHeight="1">
      <c r="A1171" s="239"/>
      <c r="B1171" s="239"/>
      <c r="C1171" s="239"/>
      <c r="D1171" s="239"/>
      <c r="E1171" s="239"/>
      <c r="F1171" s="239"/>
      <c r="G1171" s="239"/>
      <c r="H1171" s="239"/>
    </row>
    <row r="1172" spans="1:8" ht="18" customHeight="1">
      <c r="A1172" s="239"/>
      <c r="B1172" s="239"/>
      <c r="C1172" s="239"/>
      <c r="D1172" s="239"/>
      <c r="E1172" s="239"/>
      <c r="F1172" s="239"/>
      <c r="G1172" s="239"/>
      <c r="H1172" s="239"/>
    </row>
    <row r="1173" spans="1:8" ht="18" customHeight="1">
      <c r="A1173" s="239"/>
      <c r="B1173" s="239"/>
      <c r="C1173" s="239"/>
      <c r="D1173" s="239"/>
      <c r="E1173" s="239"/>
      <c r="F1173" s="239"/>
      <c r="G1173" s="239"/>
      <c r="H1173" s="239"/>
    </row>
    <row r="1174" spans="1:8" ht="18" customHeight="1">
      <c r="A1174" s="239"/>
      <c r="B1174" s="239"/>
      <c r="C1174" s="239"/>
      <c r="D1174" s="239"/>
      <c r="E1174" s="239"/>
      <c r="F1174" s="239"/>
      <c r="G1174" s="239"/>
      <c r="H1174" s="239"/>
    </row>
    <row r="1175" spans="1:8" ht="18" customHeight="1">
      <c r="A1175" s="239"/>
      <c r="B1175" s="239"/>
      <c r="C1175" s="239"/>
      <c r="D1175" s="239"/>
      <c r="E1175" s="239"/>
      <c r="F1175" s="239"/>
      <c r="G1175" s="239"/>
      <c r="H1175" s="239"/>
    </row>
    <row r="1176" spans="1:8" ht="18" customHeight="1">
      <c r="A1176" s="239"/>
      <c r="B1176" s="239"/>
      <c r="C1176" s="239"/>
      <c r="D1176" s="239"/>
      <c r="E1176" s="239"/>
      <c r="F1176" s="239"/>
      <c r="G1176" s="239"/>
      <c r="H1176" s="239"/>
    </row>
    <row r="1177" spans="1:8" ht="18" customHeight="1">
      <c r="A1177" s="239"/>
      <c r="B1177" s="239"/>
      <c r="C1177" s="239"/>
      <c r="D1177" s="239"/>
      <c r="E1177" s="239"/>
      <c r="F1177" s="239"/>
      <c r="G1177" s="239"/>
      <c r="H1177" s="239"/>
    </row>
    <row r="1178" spans="1:8" ht="18" customHeight="1">
      <c r="A1178" s="239"/>
      <c r="B1178" s="239"/>
      <c r="C1178" s="239"/>
      <c r="D1178" s="239"/>
      <c r="E1178" s="239"/>
      <c r="F1178" s="239"/>
      <c r="G1178" s="239"/>
      <c r="H1178" s="239"/>
    </row>
    <row r="1179" spans="1:8" ht="18" customHeight="1">
      <c r="A1179" s="239"/>
      <c r="B1179" s="239"/>
      <c r="C1179" s="239"/>
      <c r="D1179" s="239"/>
      <c r="E1179" s="239"/>
      <c r="F1179" s="239"/>
      <c r="G1179" s="239"/>
      <c r="H1179" s="239"/>
    </row>
    <row r="1180" spans="1:8" ht="18" customHeight="1">
      <c r="A1180" s="239"/>
      <c r="B1180" s="239"/>
      <c r="C1180" s="239"/>
      <c r="D1180" s="239"/>
      <c r="E1180" s="239"/>
      <c r="F1180" s="239"/>
      <c r="G1180" s="239"/>
      <c r="H1180" s="239"/>
    </row>
    <row r="1181" spans="1:8" ht="18" customHeight="1">
      <c r="A1181" s="239"/>
      <c r="B1181" s="239"/>
      <c r="C1181" s="239"/>
      <c r="D1181" s="239"/>
      <c r="E1181" s="239"/>
      <c r="F1181" s="239"/>
      <c r="G1181" s="239"/>
      <c r="H1181" s="239"/>
    </row>
    <row r="1182" spans="1:8" ht="18" customHeight="1">
      <c r="A1182" s="239"/>
      <c r="B1182" s="239"/>
      <c r="C1182" s="239"/>
      <c r="D1182" s="239"/>
      <c r="E1182" s="239"/>
      <c r="F1182" s="239"/>
      <c r="G1182" s="239"/>
      <c r="H1182" s="239"/>
    </row>
    <row r="1183" spans="1:8" ht="18" customHeight="1">
      <c r="A1183" s="239"/>
      <c r="B1183" s="239"/>
      <c r="C1183" s="239"/>
      <c r="D1183" s="239"/>
      <c r="E1183" s="239"/>
      <c r="F1183" s="239"/>
      <c r="G1183" s="239"/>
      <c r="H1183" s="239"/>
    </row>
    <row r="1184" spans="1:8" ht="18" customHeight="1">
      <c r="A1184" s="239"/>
      <c r="B1184" s="239"/>
      <c r="C1184" s="239"/>
      <c r="D1184" s="239"/>
      <c r="E1184" s="239"/>
      <c r="F1184" s="239"/>
      <c r="G1184" s="239"/>
      <c r="H1184" s="239"/>
    </row>
    <row r="1185" spans="1:8" ht="18" customHeight="1">
      <c r="A1185" s="239"/>
      <c r="B1185" s="239"/>
      <c r="C1185" s="239"/>
      <c r="D1185" s="239"/>
      <c r="E1185" s="239"/>
      <c r="F1185" s="239"/>
      <c r="G1185" s="239"/>
      <c r="H1185" s="239"/>
    </row>
    <row r="1186" spans="1:8" ht="18" customHeight="1">
      <c r="A1186" s="239"/>
      <c r="B1186" s="239"/>
      <c r="C1186" s="239"/>
      <c r="D1186" s="239"/>
      <c r="E1186" s="239"/>
      <c r="F1186" s="239"/>
      <c r="G1186" s="239"/>
      <c r="H1186" s="239"/>
    </row>
    <row r="1187" spans="1:8" ht="18" customHeight="1">
      <c r="A1187" s="239"/>
      <c r="B1187" s="239"/>
      <c r="C1187" s="239"/>
      <c r="D1187" s="239"/>
      <c r="E1187" s="239"/>
      <c r="F1187" s="239"/>
      <c r="G1187" s="239"/>
      <c r="H1187" s="239"/>
    </row>
    <row r="1188" spans="1:8" ht="18" customHeight="1">
      <c r="A1188" s="239"/>
      <c r="B1188" s="239"/>
      <c r="C1188" s="239"/>
      <c r="D1188" s="239"/>
      <c r="E1188" s="239"/>
      <c r="F1188" s="239"/>
      <c r="G1188" s="239"/>
      <c r="H1188" s="239"/>
    </row>
    <row r="1189" spans="1:8" ht="18" customHeight="1">
      <c r="A1189" s="239"/>
      <c r="B1189" s="239"/>
      <c r="C1189" s="239"/>
      <c r="D1189" s="239"/>
      <c r="E1189" s="239"/>
      <c r="F1189" s="239"/>
      <c r="G1189" s="239"/>
      <c r="H1189" s="239"/>
    </row>
    <row r="1190" spans="1:8" ht="18" customHeight="1">
      <c r="A1190" s="239"/>
      <c r="B1190" s="239"/>
      <c r="C1190" s="239"/>
      <c r="D1190" s="239"/>
      <c r="E1190" s="239"/>
      <c r="F1190" s="239"/>
      <c r="G1190" s="239"/>
      <c r="H1190" s="239"/>
    </row>
    <row r="1191" spans="1:8" ht="18" customHeight="1">
      <c r="A1191" s="239"/>
      <c r="B1191" s="239"/>
      <c r="C1191" s="239"/>
      <c r="D1191" s="239"/>
      <c r="E1191" s="239"/>
      <c r="F1191" s="239"/>
      <c r="G1191" s="239"/>
      <c r="H1191" s="239"/>
    </row>
    <row r="1192" spans="1:8" ht="18" customHeight="1">
      <c r="A1192" s="239"/>
      <c r="B1192" s="239"/>
      <c r="C1192" s="239"/>
      <c r="D1192" s="239"/>
      <c r="E1192" s="239"/>
      <c r="F1192" s="239"/>
      <c r="G1192" s="239"/>
      <c r="H1192" s="239"/>
    </row>
    <row r="1193" spans="1:8" ht="18" customHeight="1">
      <c r="A1193" s="239"/>
      <c r="B1193" s="239"/>
      <c r="C1193" s="239"/>
      <c r="D1193" s="239"/>
      <c r="E1193" s="239"/>
      <c r="F1193" s="239"/>
      <c r="G1193" s="239"/>
      <c r="H1193" s="239"/>
    </row>
    <row r="1194" spans="1:8" ht="18" customHeight="1">
      <c r="A1194" s="239"/>
      <c r="B1194" s="239"/>
      <c r="C1194" s="239"/>
      <c r="D1194" s="239"/>
      <c r="E1194" s="239"/>
      <c r="F1194" s="239"/>
      <c r="G1194" s="239"/>
      <c r="H1194" s="239"/>
    </row>
    <row r="1195" spans="1:8" ht="18" customHeight="1">
      <c r="A1195" s="239"/>
      <c r="B1195" s="239"/>
      <c r="C1195" s="239"/>
      <c r="D1195" s="239"/>
      <c r="E1195" s="239"/>
      <c r="F1195" s="239"/>
      <c r="G1195" s="239"/>
      <c r="H1195" s="239"/>
    </row>
    <row r="1196" spans="1:8" ht="18" customHeight="1">
      <c r="A1196" s="239"/>
      <c r="B1196" s="239"/>
      <c r="C1196" s="239"/>
      <c r="D1196" s="239"/>
      <c r="E1196" s="239"/>
      <c r="F1196" s="239"/>
      <c r="G1196" s="239"/>
      <c r="H1196" s="239"/>
    </row>
    <row r="1197" spans="1:8" ht="18" customHeight="1">
      <c r="A1197" s="239"/>
      <c r="B1197" s="239"/>
      <c r="C1197" s="239"/>
      <c r="D1197" s="239"/>
      <c r="E1197" s="239"/>
      <c r="F1197" s="239"/>
      <c r="G1197" s="239"/>
      <c r="H1197" s="239"/>
    </row>
    <row r="1198" spans="1:8" ht="18" customHeight="1">
      <c r="A1198" s="239"/>
      <c r="B1198" s="239"/>
      <c r="C1198" s="239"/>
      <c r="D1198" s="239"/>
      <c r="E1198" s="239"/>
      <c r="F1198" s="239"/>
      <c r="G1198" s="239"/>
      <c r="H1198" s="239"/>
    </row>
    <row r="1199" spans="1:8" ht="18" customHeight="1">
      <c r="A1199" s="239"/>
      <c r="B1199" s="239"/>
      <c r="C1199" s="239"/>
      <c r="D1199" s="239"/>
      <c r="E1199" s="239"/>
      <c r="F1199" s="239"/>
      <c r="G1199" s="239"/>
      <c r="H1199" s="239"/>
    </row>
    <row r="1200" spans="1:8" ht="18" customHeight="1">
      <c r="A1200" s="239"/>
      <c r="B1200" s="239"/>
      <c r="C1200" s="239"/>
      <c r="D1200" s="239"/>
      <c r="E1200" s="239"/>
      <c r="F1200" s="239"/>
      <c r="G1200" s="239"/>
      <c r="H1200" s="239"/>
    </row>
    <row r="1201" spans="1:8" ht="18" customHeight="1">
      <c r="A1201" s="239"/>
      <c r="B1201" s="239"/>
      <c r="C1201" s="239"/>
      <c r="D1201" s="239"/>
      <c r="E1201" s="239"/>
      <c r="F1201" s="239"/>
      <c r="G1201" s="239"/>
      <c r="H1201" s="239"/>
    </row>
    <row r="1202" spans="1:8" ht="18" customHeight="1">
      <c r="A1202" s="239"/>
      <c r="B1202" s="239"/>
      <c r="C1202" s="239"/>
      <c r="D1202" s="239"/>
      <c r="E1202" s="239"/>
      <c r="F1202" s="239"/>
      <c r="G1202" s="239"/>
      <c r="H1202" s="239"/>
    </row>
    <row r="1203" spans="1:8" ht="18" customHeight="1">
      <c r="A1203" s="239"/>
      <c r="B1203" s="239"/>
      <c r="C1203" s="239"/>
      <c r="D1203" s="239"/>
      <c r="E1203" s="239"/>
      <c r="F1203" s="239"/>
      <c r="G1203" s="239"/>
      <c r="H1203" s="239"/>
    </row>
    <row r="1204" spans="1:8" ht="18" customHeight="1">
      <c r="A1204" s="239"/>
      <c r="B1204" s="239"/>
      <c r="C1204" s="239"/>
      <c r="D1204" s="239"/>
      <c r="E1204" s="239"/>
      <c r="F1204" s="239"/>
      <c r="G1204" s="239"/>
      <c r="H1204" s="239"/>
    </row>
    <row r="1205" spans="1:8" ht="18" customHeight="1">
      <c r="A1205" s="239"/>
      <c r="B1205" s="239"/>
      <c r="C1205" s="239"/>
      <c r="D1205" s="239"/>
      <c r="E1205" s="239"/>
      <c r="F1205" s="239"/>
      <c r="G1205" s="239"/>
      <c r="H1205" s="239"/>
    </row>
    <row r="1206" spans="1:8" ht="18" customHeight="1">
      <c r="A1206" s="239"/>
      <c r="B1206" s="239"/>
      <c r="C1206" s="239"/>
      <c r="D1206" s="239"/>
      <c r="E1206" s="239"/>
      <c r="F1206" s="239"/>
      <c r="G1206" s="239"/>
      <c r="H1206" s="239"/>
    </row>
    <row r="1207" spans="1:8" ht="18" customHeight="1">
      <c r="A1207" s="239"/>
      <c r="B1207" s="239"/>
      <c r="C1207" s="239"/>
      <c r="D1207" s="239"/>
      <c r="E1207" s="239"/>
      <c r="F1207" s="239"/>
      <c r="G1207" s="239"/>
      <c r="H1207" s="239"/>
    </row>
    <row r="1208" spans="1:8" ht="18" customHeight="1">
      <c r="A1208" s="239"/>
      <c r="B1208" s="239"/>
      <c r="C1208" s="239"/>
      <c r="D1208" s="239"/>
      <c r="E1208" s="239"/>
      <c r="F1208" s="239"/>
      <c r="G1208" s="239"/>
      <c r="H1208" s="239"/>
    </row>
    <row r="1209" spans="1:8" ht="18" customHeight="1">
      <c r="A1209" s="239"/>
      <c r="B1209" s="239"/>
      <c r="C1209" s="239"/>
      <c r="D1209" s="239"/>
      <c r="E1209" s="239"/>
      <c r="F1209" s="239"/>
      <c r="G1209" s="239"/>
      <c r="H1209" s="239"/>
    </row>
    <row r="1210" spans="1:8" ht="18" customHeight="1">
      <c r="A1210" s="239"/>
      <c r="B1210" s="239"/>
      <c r="C1210" s="239"/>
      <c r="D1210" s="239"/>
      <c r="E1210" s="239"/>
      <c r="F1210" s="239"/>
      <c r="G1210" s="239"/>
      <c r="H1210" s="239"/>
    </row>
    <row r="1211" spans="1:8" ht="18" customHeight="1">
      <c r="A1211" s="239"/>
      <c r="B1211" s="239"/>
      <c r="C1211" s="239"/>
      <c r="D1211" s="239"/>
      <c r="E1211" s="239"/>
      <c r="F1211" s="239"/>
      <c r="G1211" s="239"/>
      <c r="H1211" s="239"/>
    </row>
    <row r="1212" spans="1:8" ht="18" customHeight="1">
      <c r="A1212" s="239"/>
      <c r="B1212" s="239"/>
      <c r="C1212" s="239"/>
      <c r="D1212" s="239"/>
      <c r="E1212" s="239"/>
      <c r="F1212" s="239"/>
      <c r="G1212" s="239"/>
      <c r="H1212" s="239"/>
    </row>
    <row r="1213" spans="1:8" ht="18" customHeight="1">
      <c r="A1213" s="239"/>
      <c r="B1213" s="239"/>
      <c r="C1213" s="239"/>
      <c r="D1213" s="239"/>
      <c r="E1213" s="239"/>
      <c r="F1213" s="239"/>
      <c r="G1213" s="239"/>
      <c r="H1213" s="239"/>
    </row>
    <row r="1214" spans="1:8" ht="18" customHeight="1">
      <c r="A1214" s="239"/>
      <c r="B1214" s="239"/>
      <c r="C1214" s="239"/>
      <c r="D1214" s="239"/>
      <c r="E1214" s="239"/>
      <c r="F1214" s="239"/>
      <c r="G1214" s="239"/>
      <c r="H1214" s="239"/>
    </row>
    <row r="1215" spans="1:8" ht="18" customHeight="1">
      <c r="A1215" s="239"/>
      <c r="B1215" s="239"/>
      <c r="C1215" s="239"/>
      <c r="D1215" s="239"/>
      <c r="E1215" s="239"/>
      <c r="F1215" s="239"/>
      <c r="G1215" s="239"/>
      <c r="H1215" s="239"/>
    </row>
    <row r="1216" spans="1:8" ht="18" customHeight="1">
      <c r="A1216" s="239"/>
      <c r="B1216" s="239"/>
      <c r="C1216" s="239"/>
      <c r="D1216" s="239"/>
      <c r="E1216" s="239"/>
      <c r="F1216" s="239"/>
      <c r="G1216" s="239"/>
      <c r="H1216" s="239"/>
    </row>
    <row r="1217" spans="1:8" ht="18" customHeight="1">
      <c r="A1217" s="239"/>
      <c r="B1217" s="239"/>
      <c r="C1217" s="239"/>
      <c r="D1217" s="239"/>
      <c r="E1217" s="239"/>
      <c r="F1217" s="239"/>
      <c r="G1217" s="239"/>
      <c r="H1217" s="239"/>
    </row>
    <row r="1218" spans="1:8" ht="18" customHeight="1">
      <c r="A1218" s="239"/>
      <c r="B1218" s="239"/>
      <c r="C1218" s="239"/>
      <c r="D1218" s="239"/>
      <c r="E1218" s="239"/>
      <c r="F1218" s="239"/>
      <c r="G1218" s="239"/>
      <c r="H1218" s="239"/>
    </row>
    <row r="1219" spans="1:8" ht="18" customHeight="1">
      <c r="A1219" s="239"/>
      <c r="B1219" s="239"/>
      <c r="C1219" s="239"/>
      <c r="D1219" s="239"/>
      <c r="E1219" s="239"/>
      <c r="F1219" s="239"/>
      <c r="G1219" s="239"/>
      <c r="H1219" s="239"/>
    </row>
    <row r="1220" spans="1:8" ht="18" customHeight="1">
      <c r="A1220" s="239"/>
      <c r="B1220" s="239"/>
      <c r="C1220" s="239"/>
      <c r="D1220" s="239"/>
      <c r="E1220" s="239"/>
      <c r="F1220" s="239"/>
      <c r="G1220" s="239"/>
      <c r="H1220" s="239"/>
    </row>
    <row r="1221" spans="1:8" ht="18" customHeight="1">
      <c r="A1221" s="239"/>
      <c r="B1221" s="239"/>
      <c r="C1221" s="239"/>
      <c r="D1221" s="239"/>
      <c r="E1221" s="239"/>
      <c r="F1221" s="239"/>
      <c r="G1221" s="239"/>
      <c r="H1221" s="239"/>
    </row>
    <row r="1222" spans="1:8" ht="18" customHeight="1">
      <c r="A1222" s="239"/>
      <c r="B1222" s="239"/>
      <c r="C1222" s="239"/>
      <c r="D1222" s="239"/>
      <c r="E1222" s="239"/>
      <c r="F1222" s="239"/>
      <c r="G1222" s="239"/>
      <c r="H1222" s="239"/>
    </row>
    <row r="1223" spans="1:8" ht="18" customHeight="1">
      <c r="A1223" s="239"/>
      <c r="B1223" s="239"/>
      <c r="C1223" s="239"/>
      <c r="D1223" s="239"/>
      <c r="E1223" s="239"/>
      <c r="F1223" s="239"/>
      <c r="G1223" s="239"/>
      <c r="H1223" s="239"/>
    </row>
    <row r="1224" spans="1:8" ht="18" customHeight="1">
      <c r="A1224" s="239"/>
      <c r="B1224" s="239"/>
      <c r="C1224" s="239"/>
      <c r="D1224" s="239"/>
      <c r="E1224" s="239"/>
      <c r="F1224" s="239"/>
      <c r="G1224" s="239"/>
      <c r="H1224" s="239"/>
    </row>
    <row r="1225" spans="1:8" ht="18" customHeight="1">
      <c r="A1225" s="239"/>
      <c r="B1225" s="239"/>
      <c r="C1225" s="239"/>
      <c r="D1225" s="239"/>
      <c r="E1225" s="239"/>
      <c r="F1225" s="239"/>
      <c r="G1225" s="239"/>
      <c r="H1225" s="239"/>
    </row>
    <row r="1226" spans="1:8" ht="18" customHeight="1">
      <c r="A1226" s="239"/>
      <c r="B1226" s="239"/>
      <c r="C1226" s="239"/>
      <c r="D1226" s="239"/>
      <c r="E1226" s="239"/>
      <c r="F1226" s="239"/>
      <c r="G1226" s="239"/>
      <c r="H1226" s="239"/>
    </row>
    <row r="1227" spans="1:8" ht="18" customHeight="1">
      <c r="A1227" s="239"/>
      <c r="B1227" s="239"/>
      <c r="C1227" s="239"/>
      <c r="D1227" s="239"/>
      <c r="E1227" s="239"/>
      <c r="F1227" s="239"/>
      <c r="G1227" s="239"/>
      <c r="H1227" s="239"/>
    </row>
    <row r="1228" spans="1:8" ht="18" customHeight="1">
      <c r="A1228" s="239"/>
      <c r="B1228" s="239"/>
      <c r="C1228" s="239"/>
      <c r="D1228" s="239"/>
      <c r="E1228" s="239"/>
      <c r="F1228" s="239"/>
      <c r="G1228" s="239"/>
      <c r="H1228" s="239"/>
    </row>
    <row r="1229" spans="1:8" ht="18" customHeight="1">
      <c r="A1229" s="239"/>
      <c r="B1229" s="239"/>
      <c r="C1229" s="239"/>
      <c r="D1229" s="239"/>
      <c r="E1229" s="239"/>
      <c r="F1229" s="239"/>
      <c r="G1229" s="239"/>
      <c r="H1229" s="239"/>
    </row>
    <row r="1230" spans="1:8" ht="18" customHeight="1">
      <c r="A1230" s="239"/>
      <c r="B1230" s="239"/>
      <c r="C1230" s="239"/>
      <c r="D1230" s="239"/>
      <c r="E1230" s="239"/>
      <c r="F1230" s="239"/>
      <c r="G1230" s="239"/>
      <c r="H1230" s="239"/>
    </row>
    <row r="1231" spans="1:8" ht="18" customHeight="1">
      <c r="A1231" s="239"/>
      <c r="B1231" s="239"/>
      <c r="C1231" s="239"/>
      <c r="D1231" s="239"/>
      <c r="E1231" s="239"/>
      <c r="F1231" s="239"/>
      <c r="G1231" s="239"/>
      <c r="H1231" s="239"/>
    </row>
    <row r="1232" spans="1:8" ht="18" customHeight="1">
      <c r="A1232" s="239"/>
      <c r="B1232" s="239"/>
      <c r="C1232" s="239"/>
      <c r="D1232" s="239"/>
      <c r="E1232" s="239"/>
      <c r="F1232" s="239"/>
      <c r="G1232" s="239"/>
      <c r="H1232" s="239"/>
    </row>
    <row r="1233" spans="1:8" ht="18" customHeight="1">
      <c r="A1233" s="239"/>
      <c r="B1233" s="239"/>
      <c r="C1233" s="239"/>
      <c r="D1233" s="239"/>
      <c r="E1233" s="239"/>
      <c r="F1233" s="239"/>
      <c r="G1233" s="239"/>
      <c r="H1233" s="239"/>
    </row>
    <row r="1234" spans="1:8" ht="18" customHeight="1">
      <c r="A1234" s="239"/>
      <c r="B1234" s="239"/>
      <c r="C1234" s="239"/>
      <c r="D1234" s="239"/>
      <c r="E1234" s="239"/>
      <c r="F1234" s="239"/>
      <c r="G1234" s="239"/>
      <c r="H1234" s="239"/>
    </row>
    <row r="1235" spans="1:8" ht="18" customHeight="1">
      <c r="A1235" s="239"/>
      <c r="B1235" s="239"/>
      <c r="C1235" s="239"/>
      <c r="D1235" s="239"/>
      <c r="E1235" s="239"/>
      <c r="F1235" s="239"/>
      <c r="G1235" s="239"/>
      <c r="H1235" s="239"/>
    </row>
    <row r="1236" spans="1:8" ht="18" customHeight="1">
      <c r="A1236" s="239"/>
      <c r="B1236" s="239"/>
      <c r="C1236" s="239"/>
      <c r="D1236" s="239"/>
      <c r="E1236" s="239"/>
      <c r="F1236" s="239"/>
      <c r="G1236" s="239"/>
      <c r="H1236" s="239"/>
    </row>
    <row r="1237" spans="1:8" ht="18" customHeight="1">
      <c r="A1237" s="239"/>
      <c r="B1237" s="239"/>
      <c r="C1237" s="239"/>
      <c r="D1237" s="239"/>
      <c r="E1237" s="239"/>
      <c r="F1237" s="239"/>
      <c r="G1237" s="239"/>
      <c r="H1237" s="239"/>
    </row>
    <row r="1238" spans="1:8" ht="18" customHeight="1">
      <c r="A1238" s="239"/>
      <c r="B1238" s="239"/>
      <c r="C1238" s="239"/>
      <c r="D1238" s="239"/>
      <c r="E1238" s="239"/>
      <c r="F1238" s="239"/>
      <c r="G1238" s="239"/>
      <c r="H1238" s="239"/>
    </row>
    <row r="1239" spans="1:8" ht="18" customHeight="1">
      <c r="A1239" s="239"/>
      <c r="B1239" s="239"/>
      <c r="C1239" s="239"/>
      <c r="D1239" s="239"/>
      <c r="E1239" s="239"/>
      <c r="F1239" s="239"/>
      <c r="G1239" s="239"/>
      <c r="H1239" s="239"/>
    </row>
    <row r="1240" spans="1:8" ht="18" customHeight="1">
      <c r="A1240" s="239"/>
      <c r="B1240" s="239"/>
      <c r="C1240" s="239"/>
      <c r="D1240" s="239"/>
      <c r="E1240" s="239"/>
      <c r="F1240" s="239"/>
      <c r="G1240" s="239"/>
      <c r="H1240" s="239"/>
    </row>
    <row r="1241" spans="1:8" ht="18" customHeight="1">
      <c r="A1241" s="239"/>
      <c r="B1241" s="239"/>
      <c r="C1241" s="239"/>
      <c r="D1241" s="239"/>
      <c r="E1241" s="239"/>
      <c r="F1241" s="239"/>
      <c r="G1241" s="239"/>
      <c r="H1241" s="239"/>
    </row>
    <row r="1242" spans="1:8" ht="18" customHeight="1">
      <c r="A1242" s="239"/>
      <c r="B1242" s="239"/>
      <c r="C1242" s="239"/>
      <c r="D1242" s="239"/>
      <c r="E1242" s="239"/>
      <c r="F1242" s="239"/>
      <c r="G1242" s="239"/>
      <c r="H1242" s="239"/>
    </row>
    <row r="1243" spans="1:8" ht="18" customHeight="1">
      <c r="A1243" s="239"/>
      <c r="B1243" s="239"/>
      <c r="C1243" s="239"/>
      <c r="D1243" s="239"/>
      <c r="E1243" s="239"/>
      <c r="F1243" s="239"/>
      <c r="G1243" s="239"/>
      <c r="H1243" s="239"/>
    </row>
    <row r="1244" spans="1:8" ht="18" customHeight="1">
      <c r="A1244" s="239"/>
      <c r="B1244" s="239"/>
      <c r="C1244" s="239"/>
      <c r="D1244" s="239"/>
      <c r="E1244" s="239"/>
      <c r="F1244" s="239"/>
      <c r="G1244" s="239"/>
      <c r="H1244" s="239"/>
    </row>
    <row r="1245" spans="1:8" ht="18" customHeight="1">
      <c r="A1245" s="239"/>
      <c r="B1245" s="239"/>
      <c r="C1245" s="239"/>
      <c r="D1245" s="239"/>
      <c r="E1245" s="239"/>
      <c r="F1245" s="239"/>
      <c r="G1245" s="239"/>
      <c r="H1245" s="239"/>
    </row>
    <row r="1246" spans="1:8" ht="18" customHeight="1">
      <c r="A1246" s="239"/>
      <c r="B1246" s="239"/>
      <c r="C1246" s="239"/>
      <c r="D1246" s="239"/>
      <c r="E1246" s="239"/>
      <c r="F1246" s="239"/>
      <c r="G1246" s="239"/>
      <c r="H1246" s="239"/>
    </row>
    <row r="1247" spans="1:8" ht="18" customHeight="1">
      <c r="A1247" s="239"/>
      <c r="B1247" s="239"/>
      <c r="C1247" s="239"/>
      <c r="D1247" s="239"/>
      <c r="E1247" s="239"/>
      <c r="F1247" s="239"/>
      <c r="G1247" s="239"/>
      <c r="H1247" s="239"/>
    </row>
    <row r="1248" spans="1:8" ht="18" customHeight="1">
      <c r="A1248" s="239"/>
      <c r="B1248" s="239"/>
      <c r="C1248" s="239"/>
      <c r="D1248" s="239"/>
      <c r="E1248" s="239"/>
      <c r="F1248" s="239"/>
      <c r="G1248" s="239"/>
      <c r="H1248" s="239"/>
    </row>
    <row r="1249" spans="1:8" ht="18" customHeight="1">
      <c r="A1249" s="239"/>
      <c r="B1249" s="239"/>
      <c r="C1249" s="239"/>
      <c r="D1249" s="239"/>
      <c r="E1249" s="239"/>
      <c r="F1249" s="239"/>
      <c r="G1249" s="239"/>
      <c r="H1249" s="239"/>
    </row>
    <row r="1250" spans="1:8" ht="18" customHeight="1">
      <c r="A1250" s="239"/>
      <c r="B1250" s="239"/>
      <c r="C1250" s="239"/>
      <c r="D1250" s="239"/>
      <c r="E1250" s="239"/>
      <c r="F1250" s="239"/>
      <c r="G1250" s="239"/>
      <c r="H1250" s="239"/>
    </row>
    <row r="1251" spans="1:8" ht="18" customHeight="1">
      <c r="A1251" s="239"/>
      <c r="B1251" s="239"/>
      <c r="C1251" s="239"/>
      <c r="D1251" s="239"/>
      <c r="E1251" s="239"/>
      <c r="F1251" s="239"/>
      <c r="G1251" s="239"/>
      <c r="H1251" s="239"/>
    </row>
    <row r="1252" spans="1:8" ht="18" customHeight="1">
      <c r="A1252" s="239"/>
      <c r="B1252" s="239"/>
      <c r="C1252" s="239"/>
      <c r="D1252" s="239"/>
      <c r="E1252" s="239"/>
      <c r="F1252" s="239"/>
      <c r="G1252" s="239"/>
      <c r="H1252" s="239"/>
    </row>
    <row r="1253" spans="1:8" ht="18" customHeight="1">
      <c r="A1253" s="239"/>
      <c r="B1253" s="239"/>
      <c r="C1253" s="239"/>
      <c r="D1253" s="239"/>
      <c r="E1253" s="239"/>
      <c r="F1253" s="239"/>
      <c r="G1253" s="239"/>
      <c r="H1253" s="239"/>
    </row>
    <row r="1254" spans="1:8" ht="18" customHeight="1">
      <c r="A1254" s="239"/>
      <c r="B1254" s="239"/>
      <c r="C1254" s="239"/>
      <c r="D1254" s="239"/>
      <c r="E1254" s="239"/>
      <c r="F1254" s="239"/>
      <c r="G1254" s="239"/>
      <c r="H1254" s="239"/>
    </row>
    <row r="1255" spans="1:8" ht="18" customHeight="1">
      <c r="A1255" s="239"/>
      <c r="B1255" s="239"/>
      <c r="C1255" s="239"/>
      <c r="D1255" s="239"/>
      <c r="E1255" s="239"/>
      <c r="F1255" s="239"/>
      <c r="G1255" s="239"/>
      <c r="H1255" s="239"/>
    </row>
    <row r="1256" spans="1:8" ht="18" customHeight="1">
      <c r="A1256" s="239"/>
      <c r="B1256" s="239"/>
      <c r="C1256" s="239"/>
      <c r="D1256" s="239"/>
      <c r="E1256" s="239"/>
      <c r="F1256" s="239"/>
      <c r="G1256" s="239"/>
      <c r="H1256" s="239"/>
    </row>
    <row r="1257" spans="1:8" ht="18" customHeight="1">
      <c r="A1257" s="239"/>
      <c r="B1257" s="239"/>
      <c r="C1257" s="239"/>
      <c r="D1257" s="239"/>
      <c r="E1257" s="239"/>
      <c r="F1257" s="239"/>
      <c r="G1257" s="239"/>
      <c r="H1257" s="239"/>
    </row>
    <row r="1258" spans="1:8" ht="18" customHeight="1">
      <c r="A1258" s="239"/>
      <c r="B1258" s="239"/>
      <c r="C1258" s="239"/>
      <c r="D1258" s="239"/>
      <c r="E1258" s="239"/>
      <c r="F1258" s="239"/>
      <c r="G1258" s="239"/>
      <c r="H1258" s="239"/>
    </row>
    <row r="1259" spans="1:8" ht="18" customHeight="1">
      <c r="A1259" s="239"/>
      <c r="B1259" s="239"/>
      <c r="C1259" s="239"/>
      <c r="D1259" s="239"/>
      <c r="E1259" s="239"/>
      <c r="F1259" s="239"/>
      <c r="G1259" s="239"/>
      <c r="H1259" s="239"/>
    </row>
    <row r="1260" spans="1:8" ht="18" customHeight="1">
      <c r="A1260" s="239"/>
      <c r="B1260" s="239"/>
      <c r="C1260" s="239"/>
      <c r="D1260" s="239"/>
      <c r="E1260" s="239"/>
      <c r="F1260" s="239"/>
      <c r="G1260" s="239"/>
      <c r="H1260" s="239"/>
    </row>
    <row r="1261" spans="1:8" ht="18" customHeight="1">
      <c r="A1261" s="239"/>
      <c r="B1261" s="239"/>
      <c r="C1261" s="239"/>
      <c r="D1261" s="239"/>
      <c r="E1261" s="239"/>
      <c r="F1261" s="239"/>
      <c r="G1261" s="239"/>
      <c r="H1261" s="239"/>
    </row>
    <row r="1262" spans="1:8" ht="18" customHeight="1">
      <c r="A1262" s="239"/>
      <c r="B1262" s="239"/>
      <c r="C1262" s="239"/>
      <c r="D1262" s="239"/>
      <c r="E1262" s="239"/>
      <c r="F1262" s="239"/>
      <c r="G1262" s="239"/>
      <c r="H1262" s="239"/>
    </row>
    <row r="1263" spans="1:8" ht="18" customHeight="1">
      <c r="A1263" s="239"/>
      <c r="B1263" s="239"/>
      <c r="C1263" s="239"/>
      <c r="D1263" s="239"/>
      <c r="E1263" s="239"/>
      <c r="F1263" s="239"/>
      <c r="G1263" s="239"/>
      <c r="H1263" s="239"/>
    </row>
    <row r="1264" spans="1:8" ht="18" customHeight="1">
      <c r="A1264" s="239"/>
      <c r="B1264" s="239"/>
      <c r="C1264" s="239"/>
      <c r="D1264" s="239"/>
      <c r="E1264" s="239"/>
      <c r="F1264" s="239"/>
      <c r="G1264" s="239"/>
      <c r="H1264" s="239"/>
    </row>
    <row r="1265" spans="1:8" ht="18" customHeight="1">
      <c r="A1265" s="239"/>
      <c r="B1265" s="239"/>
      <c r="C1265" s="239"/>
      <c r="D1265" s="239"/>
      <c r="E1265" s="239"/>
      <c r="F1265" s="239"/>
      <c r="G1265" s="239"/>
      <c r="H1265" s="239"/>
    </row>
    <row r="1266" spans="1:8" ht="18" customHeight="1">
      <c r="A1266" s="239"/>
      <c r="B1266" s="239"/>
      <c r="C1266" s="239"/>
      <c r="D1266" s="239"/>
      <c r="E1266" s="239"/>
      <c r="F1266" s="239"/>
      <c r="G1266" s="239"/>
      <c r="H1266" s="239"/>
    </row>
    <row r="1267" spans="1:8" ht="18" customHeight="1">
      <c r="A1267" s="239"/>
      <c r="B1267" s="239"/>
      <c r="C1267" s="239"/>
      <c r="D1267" s="239"/>
      <c r="E1267" s="239"/>
      <c r="F1267" s="239"/>
      <c r="G1267" s="239"/>
      <c r="H1267" s="239"/>
    </row>
    <row r="1268" spans="1:8" ht="18" customHeight="1">
      <c r="A1268" s="239"/>
      <c r="B1268" s="239"/>
      <c r="C1268" s="239"/>
      <c r="D1268" s="239"/>
      <c r="E1268" s="239"/>
      <c r="F1268" s="239"/>
      <c r="G1268" s="239"/>
      <c r="H1268" s="239"/>
    </row>
    <row r="1269" spans="1:8" ht="18" customHeight="1">
      <c r="A1269" s="239"/>
      <c r="B1269" s="239"/>
      <c r="C1269" s="239"/>
      <c r="D1269" s="239"/>
      <c r="E1269" s="239"/>
      <c r="F1269" s="239"/>
      <c r="G1269" s="239"/>
      <c r="H1269" s="239"/>
    </row>
    <row r="1270" spans="1:8" ht="18" customHeight="1">
      <c r="A1270" s="239"/>
      <c r="B1270" s="239"/>
      <c r="C1270" s="239"/>
      <c r="D1270" s="239"/>
      <c r="E1270" s="239"/>
      <c r="F1270" s="239"/>
      <c r="G1270" s="239"/>
      <c r="H1270" s="239"/>
    </row>
    <row r="1271" spans="1:8" ht="18" customHeight="1">
      <c r="A1271" s="239"/>
      <c r="B1271" s="239"/>
      <c r="C1271" s="239"/>
      <c r="D1271" s="239"/>
      <c r="E1271" s="239"/>
      <c r="F1271" s="239"/>
      <c r="G1271" s="239"/>
      <c r="H1271" s="239"/>
    </row>
    <row r="1272" spans="1:8" ht="18" customHeight="1">
      <c r="A1272" s="239"/>
      <c r="B1272" s="239"/>
      <c r="C1272" s="239"/>
      <c r="D1272" s="239"/>
      <c r="E1272" s="239"/>
      <c r="F1272" s="239"/>
      <c r="G1272" s="239"/>
      <c r="H1272" s="239"/>
    </row>
    <row r="1273" spans="1:8" ht="18" customHeight="1">
      <c r="A1273" s="239"/>
      <c r="B1273" s="239"/>
      <c r="C1273" s="239"/>
      <c r="D1273" s="239"/>
      <c r="E1273" s="239"/>
      <c r="F1273" s="239"/>
      <c r="G1273" s="239"/>
      <c r="H1273" s="239"/>
    </row>
    <row r="1274" spans="1:8" ht="18" customHeight="1">
      <c r="A1274" s="239"/>
      <c r="B1274" s="239"/>
      <c r="C1274" s="239"/>
      <c r="D1274" s="239"/>
      <c r="E1274" s="239"/>
      <c r="F1274" s="239"/>
      <c r="G1274" s="239"/>
      <c r="H1274" s="239"/>
    </row>
    <row r="1275" spans="1:8" ht="18" customHeight="1">
      <c r="A1275" s="239"/>
      <c r="B1275" s="239"/>
      <c r="C1275" s="239"/>
      <c r="D1275" s="239"/>
      <c r="E1275" s="239"/>
      <c r="F1275" s="239"/>
      <c r="G1275" s="239"/>
      <c r="H1275" s="239"/>
    </row>
    <row r="1276" spans="1:8" ht="18" customHeight="1">
      <c r="A1276" s="239"/>
      <c r="B1276" s="239"/>
      <c r="C1276" s="239"/>
      <c r="D1276" s="239"/>
      <c r="E1276" s="239"/>
      <c r="F1276" s="239"/>
      <c r="G1276" s="239"/>
      <c r="H1276" s="239"/>
    </row>
    <row r="1277" spans="1:8" ht="18" customHeight="1">
      <c r="A1277" s="239"/>
      <c r="B1277" s="239"/>
      <c r="C1277" s="239"/>
      <c r="D1277" s="239"/>
      <c r="E1277" s="239"/>
      <c r="F1277" s="239"/>
      <c r="G1277" s="239"/>
      <c r="H1277" s="239"/>
    </row>
    <row r="1278" spans="1:8" ht="18" customHeight="1">
      <c r="A1278" s="239"/>
      <c r="B1278" s="239"/>
      <c r="C1278" s="239"/>
      <c r="D1278" s="239"/>
      <c r="E1278" s="239"/>
      <c r="F1278" s="239"/>
      <c r="G1278" s="239"/>
      <c r="H1278" s="239"/>
    </row>
    <row r="1279" spans="1:8" ht="18" customHeight="1">
      <c r="A1279" s="239"/>
      <c r="B1279" s="239"/>
      <c r="C1279" s="239"/>
      <c r="D1279" s="239"/>
      <c r="E1279" s="239"/>
      <c r="F1279" s="239"/>
      <c r="G1279" s="239"/>
      <c r="H1279" s="239"/>
    </row>
    <row r="1280" spans="1:8" ht="18" customHeight="1">
      <c r="A1280" s="239"/>
      <c r="B1280" s="239"/>
      <c r="C1280" s="239"/>
      <c r="D1280" s="239"/>
      <c r="E1280" s="239"/>
      <c r="F1280" s="239"/>
      <c r="G1280" s="239"/>
      <c r="H1280" s="239"/>
    </row>
    <row r="1281" spans="1:8" ht="18" customHeight="1">
      <c r="A1281" s="239"/>
      <c r="B1281" s="239"/>
      <c r="C1281" s="239"/>
      <c r="D1281" s="239"/>
      <c r="E1281" s="239"/>
      <c r="F1281" s="239"/>
      <c r="G1281" s="239"/>
      <c r="H1281" s="239"/>
    </row>
    <row r="1282" spans="1:8" ht="18" customHeight="1">
      <c r="A1282" s="239"/>
      <c r="B1282" s="239"/>
      <c r="C1282" s="239"/>
      <c r="D1282" s="239"/>
      <c r="E1282" s="239"/>
      <c r="F1282" s="239"/>
      <c r="G1282" s="239"/>
      <c r="H1282" s="239"/>
    </row>
    <row r="1283" spans="1:8" ht="18" customHeight="1">
      <c r="A1283" s="239"/>
      <c r="B1283" s="239"/>
      <c r="C1283" s="239"/>
      <c r="D1283" s="239"/>
      <c r="E1283" s="239"/>
      <c r="F1283" s="239"/>
      <c r="G1283" s="239"/>
      <c r="H1283" s="239"/>
    </row>
    <row r="1284" spans="1:8" ht="18" customHeight="1">
      <c r="A1284" s="239"/>
      <c r="B1284" s="239"/>
      <c r="C1284" s="239"/>
      <c r="D1284" s="239"/>
      <c r="E1284" s="239"/>
      <c r="F1284" s="239"/>
      <c r="G1284" s="239"/>
      <c r="H1284" s="239"/>
    </row>
    <row r="1285" spans="1:8" ht="18" customHeight="1">
      <c r="A1285" s="239"/>
      <c r="B1285" s="239"/>
      <c r="C1285" s="239"/>
      <c r="D1285" s="239"/>
      <c r="E1285" s="239"/>
      <c r="F1285" s="239"/>
      <c r="G1285" s="239"/>
      <c r="H1285" s="239"/>
    </row>
    <row r="1286" spans="1:8" ht="18" customHeight="1">
      <c r="A1286" s="239"/>
      <c r="B1286" s="239"/>
      <c r="C1286" s="239"/>
      <c r="D1286" s="239"/>
      <c r="E1286" s="239"/>
      <c r="F1286" s="239"/>
      <c r="G1286" s="239"/>
      <c r="H1286" s="239"/>
    </row>
    <row r="1287" spans="1:8" ht="18" customHeight="1">
      <c r="A1287" s="239"/>
      <c r="B1287" s="239"/>
      <c r="C1287" s="239"/>
      <c r="D1287" s="239"/>
      <c r="E1287" s="239"/>
      <c r="F1287" s="239"/>
      <c r="G1287" s="239"/>
      <c r="H1287" s="239"/>
    </row>
    <row r="1288" spans="1:8" ht="18" customHeight="1">
      <c r="A1288" s="239"/>
      <c r="B1288" s="239"/>
      <c r="C1288" s="239"/>
      <c r="D1288" s="239"/>
      <c r="E1288" s="239"/>
      <c r="F1288" s="239"/>
      <c r="G1288" s="239"/>
      <c r="H1288" s="239"/>
    </row>
    <row r="1289" spans="1:8" ht="18" customHeight="1">
      <c r="A1289" s="239"/>
      <c r="B1289" s="239"/>
      <c r="C1289" s="239"/>
      <c r="D1289" s="239"/>
      <c r="E1289" s="239"/>
      <c r="F1289" s="239"/>
      <c r="G1289" s="239"/>
      <c r="H1289" s="239"/>
    </row>
    <row r="1290" spans="1:8" ht="18" customHeight="1">
      <c r="A1290" s="239"/>
      <c r="B1290" s="239"/>
      <c r="C1290" s="239"/>
      <c r="D1290" s="239"/>
      <c r="E1290" s="239"/>
      <c r="F1290" s="239"/>
      <c r="G1290" s="239"/>
      <c r="H1290" s="239"/>
    </row>
    <row r="1291" spans="1:8" ht="18" customHeight="1">
      <c r="A1291" s="239"/>
      <c r="B1291" s="239"/>
      <c r="C1291" s="239"/>
      <c r="D1291" s="239"/>
      <c r="E1291" s="239"/>
      <c r="F1291" s="239"/>
      <c r="G1291" s="239"/>
      <c r="H1291" s="239"/>
    </row>
    <row r="1292" spans="1:8" ht="18" customHeight="1">
      <c r="A1292" s="239"/>
      <c r="B1292" s="239"/>
      <c r="C1292" s="239"/>
      <c r="D1292" s="239"/>
      <c r="E1292" s="239"/>
      <c r="F1292" s="239"/>
      <c r="G1292" s="239"/>
      <c r="H1292" s="239"/>
    </row>
    <row r="1293" spans="1:8" ht="18" customHeight="1">
      <c r="A1293" s="239"/>
      <c r="B1293" s="239"/>
      <c r="C1293" s="239"/>
      <c r="D1293" s="239"/>
      <c r="E1293" s="239"/>
      <c r="F1293" s="239"/>
      <c r="G1293" s="239"/>
      <c r="H1293" s="239"/>
    </row>
    <row r="1294" spans="1:8" ht="18" customHeight="1">
      <c r="A1294" s="239"/>
      <c r="B1294" s="239"/>
      <c r="C1294" s="239"/>
      <c r="D1294" s="239"/>
      <c r="E1294" s="239"/>
      <c r="F1294" s="239"/>
      <c r="G1294" s="239"/>
      <c r="H1294" s="239"/>
    </row>
    <row r="1295" spans="1:8" ht="18" customHeight="1">
      <c r="A1295" s="239"/>
      <c r="B1295" s="239"/>
      <c r="C1295" s="239"/>
      <c r="D1295" s="239"/>
      <c r="E1295" s="239"/>
      <c r="F1295" s="239"/>
      <c r="G1295" s="239"/>
      <c r="H1295" s="239"/>
    </row>
    <row r="1296" spans="1:8" ht="18" customHeight="1">
      <c r="A1296" s="239"/>
      <c r="B1296" s="239"/>
      <c r="C1296" s="239"/>
      <c r="D1296" s="239"/>
      <c r="E1296" s="239"/>
      <c r="F1296" s="239"/>
      <c r="G1296" s="239"/>
      <c r="H1296" s="239"/>
    </row>
    <row r="1297" spans="1:8" ht="18" customHeight="1">
      <c r="A1297" s="239"/>
      <c r="B1297" s="239"/>
      <c r="C1297" s="239"/>
      <c r="D1297" s="239"/>
      <c r="E1297" s="239"/>
      <c r="F1297" s="239"/>
      <c r="G1297" s="239"/>
      <c r="H1297" s="239"/>
    </row>
    <row r="1298" spans="1:8" ht="18" customHeight="1">
      <c r="A1298" s="239"/>
      <c r="B1298" s="239"/>
      <c r="C1298" s="239"/>
      <c r="D1298" s="239"/>
      <c r="E1298" s="239"/>
      <c r="F1298" s="239"/>
      <c r="G1298" s="239"/>
      <c r="H1298" s="239"/>
    </row>
    <row r="1299" spans="1:8" ht="18" customHeight="1">
      <c r="A1299" s="239"/>
      <c r="B1299" s="239"/>
      <c r="C1299" s="239"/>
      <c r="D1299" s="239"/>
      <c r="E1299" s="239"/>
      <c r="F1299" s="239"/>
      <c r="G1299" s="239"/>
      <c r="H1299" s="239"/>
    </row>
    <row r="1300" spans="1:8" ht="18" customHeight="1">
      <c r="A1300" s="239"/>
      <c r="B1300" s="239"/>
      <c r="C1300" s="239"/>
      <c r="D1300" s="239"/>
      <c r="E1300" s="239"/>
      <c r="F1300" s="239"/>
      <c r="G1300" s="239"/>
      <c r="H1300" s="239"/>
    </row>
    <row r="1301" spans="1:8" ht="18" customHeight="1">
      <c r="A1301" s="239"/>
      <c r="B1301" s="239"/>
      <c r="C1301" s="239"/>
      <c r="D1301" s="239"/>
      <c r="E1301" s="239"/>
      <c r="F1301" s="239"/>
      <c r="G1301" s="239"/>
      <c r="H1301" s="239"/>
    </row>
    <row r="1302" spans="1:8" ht="18" customHeight="1">
      <c r="A1302" s="239"/>
      <c r="B1302" s="239"/>
      <c r="C1302" s="239"/>
      <c r="D1302" s="239"/>
      <c r="E1302" s="239"/>
      <c r="F1302" s="239"/>
      <c r="G1302" s="239"/>
      <c r="H1302" s="239"/>
    </row>
    <row r="1303" spans="1:8" ht="18" customHeight="1">
      <c r="A1303" s="239"/>
      <c r="B1303" s="239"/>
      <c r="C1303" s="239"/>
      <c r="D1303" s="239"/>
      <c r="E1303" s="239"/>
      <c r="F1303" s="239"/>
      <c r="G1303" s="239"/>
      <c r="H1303" s="239"/>
    </row>
    <row r="1304" spans="1:8" ht="18" customHeight="1">
      <c r="A1304" s="239"/>
      <c r="B1304" s="239"/>
      <c r="C1304" s="239"/>
      <c r="D1304" s="239"/>
      <c r="E1304" s="239"/>
      <c r="F1304" s="239"/>
      <c r="G1304" s="239"/>
      <c r="H1304" s="239"/>
    </row>
    <row r="1305" spans="1:8" ht="18" customHeight="1">
      <c r="A1305" s="239"/>
      <c r="B1305" s="239"/>
      <c r="C1305" s="239"/>
      <c r="D1305" s="239"/>
      <c r="E1305" s="239"/>
      <c r="F1305" s="239"/>
      <c r="G1305" s="239"/>
      <c r="H1305" s="239"/>
    </row>
    <row r="1306" spans="1:8" ht="18" customHeight="1">
      <c r="A1306" s="239"/>
      <c r="B1306" s="239"/>
      <c r="C1306" s="239"/>
      <c r="D1306" s="239"/>
      <c r="E1306" s="239"/>
      <c r="F1306" s="239"/>
      <c r="G1306" s="239"/>
      <c r="H1306" s="239"/>
    </row>
    <row r="1307" spans="1:8" ht="18" customHeight="1">
      <c r="A1307" s="239"/>
      <c r="B1307" s="239"/>
      <c r="C1307" s="239"/>
      <c r="D1307" s="239"/>
      <c r="E1307" s="239"/>
      <c r="F1307" s="239"/>
      <c r="G1307" s="239"/>
      <c r="H1307" s="239"/>
    </row>
    <row r="1308" spans="1:8" ht="18" customHeight="1">
      <c r="A1308" s="239"/>
      <c r="B1308" s="239"/>
      <c r="C1308" s="239"/>
      <c r="D1308" s="239"/>
      <c r="E1308" s="239"/>
      <c r="F1308" s="239"/>
      <c r="G1308" s="239"/>
      <c r="H1308" s="239"/>
    </row>
    <row r="1309" spans="1:8" ht="18" customHeight="1">
      <c r="A1309" s="239"/>
      <c r="B1309" s="239"/>
      <c r="C1309" s="239"/>
      <c r="D1309" s="239"/>
      <c r="E1309" s="239"/>
      <c r="F1309" s="239"/>
      <c r="G1309" s="239"/>
      <c r="H1309" s="239"/>
    </row>
    <row r="1310" spans="1:8" ht="18" customHeight="1">
      <c r="A1310" s="239"/>
      <c r="B1310" s="239"/>
      <c r="C1310" s="239"/>
      <c r="D1310" s="239"/>
      <c r="E1310" s="239"/>
      <c r="F1310" s="239"/>
      <c r="G1310" s="239"/>
      <c r="H1310" s="239"/>
    </row>
    <row r="1311" spans="1:8" ht="18" customHeight="1">
      <c r="A1311" s="239"/>
      <c r="B1311" s="239"/>
      <c r="C1311" s="239"/>
      <c r="D1311" s="239"/>
      <c r="E1311" s="239"/>
      <c r="F1311" s="239"/>
      <c r="G1311" s="239"/>
      <c r="H1311" s="239"/>
    </row>
    <row r="1312" spans="1:8" ht="18" customHeight="1">
      <c r="A1312" s="239"/>
      <c r="B1312" s="239"/>
      <c r="C1312" s="239"/>
      <c r="D1312" s="239"/>
      <c r="E1312" s="239"/>
      <c r="F1312" s="239"/>
      <c r="G1312" s="239"/>
      <c r="H1312" s="239"/>
    </row>
    <row r="1313" spans="1:8" ht="18" customHeight="1">
      <c r="A1313" s="239"/>
      <c r="B1313" s="239"/>
      <c r="C1313" s="239"/>
      <c r="D1313" s="239"/>
      <c r="E1313" s="239"/>
      <c r="F1313" s="239"/>
      <c r="G1313" s="239"/>
      <c r="H1313" s="239"/>
    </row>
    <row r="1314" spans="1:8" ht="18" customHeight="1">
      <c r="A1314" s="239"/>
      <c r="B1314" s="239"/>
      <c r="C1314" s="239"/>
      <c r="D1314" s="239"/>
      <c r="E1314" s="239"/>
      <c r="F1314" s="239"/>
      <c r="G1314" s="239"/>
      <c r="H1314" s="239"/>
    </row>
    <row r="1315" spans="1:8" ht="18" customHeight="1">
      <c r="A1315" s="239"/>
      <c r="B1315" s="239"/>
      <c r="C1315" s="239"/>
      <c r="D1315" s="239"/>
      <c r="E1315" s="239"/>
      <c r="F1315" s="239"/>
      <c r="G1315" s="239"/>
      <c r="H1315" s="239"/>
    </row>
    <row r="1316" spans="1:8" ht="18" customHeight="1">
      <c r="A1316" s="239"/>
      <c r="B1316" s="239"/>
      <c r="C1316" s="239"/>
      <c r="D1316" s="239"/>
      <c r="E1316" s="239"/>
      <c r="F1316" s="239"/>
      <c r="G1316" s="239"/>
      <c r="H1316" s="239"/>
    </row>
    <row r="1317" spans="1:8" ht="18" customHeight="1">
      <c r="A1317" s="239"/>
      <c r="B1317" s="239"/>
      <c r="C1317" s="239"/>
      <c r="D1317" s="239"/>
      <c r="E1317" s="239"/>
      <c r="F1317" s="239"/>
      <c r="G1317" s="239"/>
      <c r="H1317" s="239"/>
    </row>
    <row r="1318" spans="1:8" ht="18" customHeight="1">
      <c r="A1318" s="239"/>
      <c r="B1318" s="239"/>
      <c r="C1318" s="239"/>
      <c r="D1318" s="239"/>
      <c r="E1318" s="239"/>
      <c r="F1318" s="239"/>
      <c r="G1318" s="239"/>
      <c r="H1318" s="239"/>
    </row>
    <row r="1319" spans="1:8" ht="18" customHeight="1">
      <c r="A1319" s="239"/>
      <c r="B1319" s="239"/>
      <c r="C1319" s="239"/>
      <c r="D1319" s="239"/>
      <c r="E1319" s="239"/>
      <c r="F1319" s="239"/>
      <c r="G1319" s="239"/>
      <c r="H1319" s="239"/>
    </row>
    <row r="1320" spans="1:8" ht="18" customHeight="1">
      <c r="A1320" s="239"/>
      <c r="B1320" s="239"/>
      <c r="C1320" s="239"/>
      <c r="D1320" s="239"/>
      <c r="E1320" s="239"/>
      <c r="F1320" s="239"/>
      <c r="G1320" s="239"/>
      <c r="H1320" s="239"/>
    </row>
    <row r="1321" spans="1:8" ht="18" customHeight="1">
      <c r="A1321" s="239"/>
      <c r="B1321" s="239"/>
      <c r="C1321" s="239"/>
      <c r="D1321" s="239"/>
      <c r="E1321" s="239"/>
      <c r="F1321" s="239"/>
      <c r="G1321" s="239"/>
      <c r="H1321" s="239"/>
    </row>
    <row r="1322" spans="1:8" ht="18" customHeight="1">
      <c r="A1322" s="239"/>
      <c r="B1322" s="239"/>
      <c r="C1322" s="239"/>
      <c r="D1322" s="239"/>
      <c r="E1322" s="239"/>
      <c r="F1322" s="239"/>
      <c r="G1322" s="239"/>
      <c r="H1322" s="239"/>
    </row>
    <row r="1323" spans="1:8" ht="18" customHeight="1">
      <c r="A1323" s="239"/>
      <c r="B1323" s="239"/>
      <c r="C1323" s="239"/>
      <c r="D1323" s="239"/>
      <c r="E1323" s="239"/>
      <c r="F1323" s="239"/>
      <c r="G1323" s="239"/>
      <c r="H1323" s="239"/>
    </row>
    <row r="1324" spans="1:8" ht="18" customHeight="1">
      <c r="A1324" s="239"/>
      <c r="B1324" s="239"/>
      <c r="C1324" s="239"/>
      <c r="D1324" s="239"/>
      <c r="E1324" s="239"/>
      <c r="F1324" s="239"/>
      <c r="G1324" s="239"/>
      <c r="H1324" s="239"/>
    </row>
    <row r="1325" spans="1:8" ht="18" customHeight="1">
      <c r="A1325" s="239"/>
      <c r="B1325" s="239"/>
      <c r="C1325" s="239"/>
      <c r="D1325" s="239"/>
      <c r="E1325" s="239"/>
      <c r="F1325" s="239"/>
      <c r="G1325" s="239"/>
      <c r="H1325" s="239"/>
    </row>
    <row r="1326" spans="1:8" ht="18" customHeight="1">
      <c r="A1326" s="239"/>
      <c r="B1326" s="239"/>
      <c r="C1326" s="239"/>
      <c r="D1326" s="239"/>
      <c r="E1326" s="239"/>
      <c r="F1326" s="239"/>
      <c r="G1326" s="239"/>
      <c r="H1326" s="239"/>
    </row>
    <row r="1327" spans="1:8" ht="18" customHeight="1">
      <c r="A1327" s="239"/>
      <c r="B1327" s="239"/>
      <c r="C1327" s="239"/>
      <c r="D1327" s="239"/>
      <c r="E1327" s="239"/>
      <c r="F1327" s="239"/>
      <c r="G1327" s="239"/>
      <c r="H1327" s="239"/>
    </row>
    <row r="1328" spans="1:8" ht="18" customHeight="1">
      <c r="A1328" s="239"/>
      <c r="B1328" s="239"/>
      <c r="C1328" s="239"/>
      <c r="D1328" s="239"/>
      <c r="E1328" s="239"/>
      <c r="F1328" s="239"/>
      <c r="G1328" s="239"/>
      <c r="H1328" s="239"/>
    </row>
    <row r="1329" spans="1:8" ht="18" customHeight="1">
      <c r="A1329" s="239"/>
      <c r="B1329" s="239"/>
      <c r="C1329" s="239"/>
      <c r="D1329" s="239"/>
      <c r="E1329" s="239"/>
      <c r="F1329" s="239"/>
      <c r="G1329" s="239"/>
      <c r="H1329" s="239"/>
    </row>
    <row r="1330" spans="1:8" ht="18" customHeight="1">
      <c r="A1330" s="239"/>
      <c r="B1330" s="239"/>
      <c r="C1330" s="239"/>
      <c r="D1330" s="239"/>
      <c r="E1330" s="239"/>
      <c r="F1330" s="239"/>
      <c r="G1330" s="239"/>
      <c r="H1330" s="239"/>
    </row>
    <row r="1331" spans="1:8" ht="18" customHeight="1">
      <c r="A1331" s="239"/>
      <c r="B1331" s="239"/>
      <c r="C1331" s="239"/>
      <c r="D1331" s="239"/>
      <c r="E1331" s="239"/>
      <c r="F1331" s="239"/>
      <c r="G1331" s="239"/>
      <c r="H1331" s="239"/>
    </row>
    <row r="1332" spans="1:8" ht="18" customHeight="1">
      <c r="A1332" s="239"/>
      <c r="B1332" s="239"/>
      <c r="C1332" s="239"/>
      <c r="D1332" s="239"/>
      <c r="E1332" s="239"/>
      <c r="F1332" s="239"/>
      <c r="G1332" s="239"/>
      <c r="H1332" s="239"/>
    </row>
    <row r="1333" spans="1:8" ht="18" customHeight="1">
      <c r="A1333" s="239"/>
      <c r="B1333" s="239"/>
      <c r="C1333" s="239"/>
      <c r="D1333" s="239"/>
      <c r="E1333" s="239"/>
      <c r="F1333" s="239"/>
      <c r="G1333" s="239"/>
      <c r="H1333" s="239"/>
    </row>
    <row r="1334" spans="1:8" ht="18" customHeight="1">
      <c r="A1334" s="239"/>
      <c r="B1334" s="239"/>
      <c r="C1334" s="239"/>
      <c r="D1334" s="239"/>
      <c r="E1334" s="239"/>
      <c r="F1334" s="239"/>
      <c r="G1334" s="239"/>
      <c r="H1334" s="239"/>
    </row>
    <row r="1335" spans="1:8" ht="18" customHeight="1">
      <c r="A1335" s="239"/>
      <c r="B1335" s="239"/>
      <c r="C1335" s="239"/>
      <c r="D1335" s="239"/>
      <c r="E1335" s="239"/>
      <c r="F1335" s="239"/>
      <c r="G1335" s="239"/>
      <c r="H1335" s="239"/>
    </row>
    <row r="1336" spans="1:8" ht="18" customHeight="1">
      <c r="A1336" s="239"/>
      <c r="B1336" s="239"/>
      <c r="C1336" s="239"/>
      <c r="D1336" s="239"/>
      <c r="E1336" s="239"/>
      <c r="F1336" s="239"/>
      <c r="G1336" s="239"/>
      <c r="H1336" s="239"/>
    </row>
    <row r="1337" spans="1:8" ht="18" customHeight="1">
      <c r="A1337" s="239"/>
      <c r="B1337" s="239"/>
      <c r="C1337" s="239"/>
      <c r="D1337" s="239"/>
      <c r="E1337" s="239"/>
      <c r="F1337" s="239"/>
      <c r="G1337" s="239"/>
      <c r="H1337" s="239"/>
    </row>
    <row r="1338" spans="1:8" ht="18" customHeight="1">
      <c r="A1338" s="239"/>
      <c r="B1338" s="239"/>
      <c r="C1338" s="239"/>
      <c r="D1338" s="239"/>
      <c r="E1338" s="239"/>
      <c r="F1338" s="239"/>
      <c r="G1338" s="239"/>
      <c r="H1338" s="239"/>
    </row>
    <row r="1339" spans="1:8" ht="18" customHeight="1">
      <c r="A1339" s="239"/>
      <c r="B1339" s="239"/>
      <c r="C1339" s="239"/>
      <c r="D1339" s="239"/>
      <c r="E1339" s="239"/>
      <c r="F1339" s="239"/>
      <c r="G1339" s="239"/>
      <c r="H1339" s="239"/>
    </row>
    <row r="1340" spans="1:8" ht="18" customHeight="1">
      <c r="A1340" s="239"/>
      <c r="B1340" s="239"/>
      <c r="C1340" s="239"/>
      <c r="D1340" s="239"/>
      <c r="E1340" s="239"/>
      <c r="F1340" s="239"/>
      <c r="G1340" s="239"/>
      <c r="H1340" s="239"/>
    </row>
    <row r="1341" spans="1:8" ht="18" customHeight="1">
      <c r="A1341" s="239"/>
      <c r="B1341" s="239"/>
      <c r="C1341" s="239"/>
      <c r="D1341" s="239"/>
      <c r="E1341" s="239"/>
      <c r="F1341" s="239"/>
      <c r="G1341" s="239"/>
      <c r="H1341" s="239"/>
    </row>
    <row r="1342" spans="1:8" ht="18" customHeight="1">
      <c r="A1342" s="239"/>
      <c r="B1342" s="239"/>
      <c r="C1342" s="239"/>
      <c r="D1342" s="239"/>
      <c r="E1342" s="239"/>
      <c r="F1342" s="239"/>
      <c r="G1342" s="239"/>
      <c r="H1342" s="239"/>
    </row>
    <row r="1343" spans="1:8" ht="18" customHeight="1">
      <c r="A1343" s="239"/>
      <c r="B1343" s="239"/>
      <c r="C1343" s="239"/>
      <c r="D1343" s="239"/>
      <c r="E1343" s="239"/>
      <c r="F1343" s="239"/>
      <c r="G1343" s="239"/>
      <c r="H1343" s="239"/>
    </row>
    <row r="1344" spans="1:8" ht="18" customHeight="1">
      <c r="A1344" s="239"/>
      <c r="B1344" s="239"/>
      <c r="C1344" s="239"/>
      <c r="D1344" s="239"/>
      <c r="E1344" s="239"/>
      <c r="F1344" s="239"/>
      <c r="G1344" s="239"/>
      <c r="H1344" s="239"/>
    </row>
    <row r="1345" spans="1:8" ht="18" customHeight="1">
      <c r="A1345" s="239"/>
      <c r="B1345" s="239"/>
      <c r="C1345" s="239"/>
      <c r="D1345" s="239"/>
      <c r="E1345" s="239"/>
      <c r="F1345" s="239"/>
      <c r="G1345" s="239"/>
      <c r="H1345" s="239"/>
    </row>
    <row r="1346" spans="1:8" ht="18" customHeight="1">
      <c r="A1346" s="239"/>
      <c r="B1346" s="239"/>
      <c r="C1346" s="239"/>
      <c r="D1346" s="239"/>
      <c r="E1346" s="239"/>
      <c r="F1346" s="239"/>
      <c r="G1346" s="239"/>
      <c r="H1346" s="239"/>
    </row>
    <row r="1347" spans="1:8" ht="18" customHeight="1">
      <c r="A1347" s="239"/>
      <c r="B1347" s="239"/>
      <c r="C1347" s="239"/>
      <c r="D1347" s="239"/>
      <c r="E1347" s="239"/>
      <c r="F1347" s="239"/>
      <c r="G1347" s="239"/>
      <c r="H1347" s="239"/>
    </row>
    <row r="1348" spans="1:8" ht="18" customHeight="1">
      <c r="A1348" s="239"/>
      <c r="B1348" s="239"/>
      <c r="C1348" s="239"/>
      <c r="D1348" s="239"/>
      <c r="E1348" s="239"/>
      <c r="F1348" s="239"/>
      <c r="G1348" s="239"/>
      <c r="H1348" s="239"/>
    </row>
    <row r="1349" spans="1:8" ht="18" customHeight="1">
      <c r="A1349" s="239"/>
      <c r="B1349" s="239"/>
      <c r="C1349" s="239"/>
      <c r="D1349" s="239"/>
      <c r="E1349" s="239"/>
      <c r="F1349" s="239"/>
      <c r="G1349" s="239"/>
      <c r="H1349" s="239"/>
    </row>
    <row r="1350" spans="1:8" ht="18" customHeight="1">
      <c r="A1350" s="239"/>
      <c r="B1350" s="239"/>
      <c r="C1350" s="239"/>
      <c r="D1350" s="239"/>
      <c r="E1350" s="239"/>
      <c r="F1350" s="239"/>
      <c r="G1350" s="239"/>
      <c r="H1350" s="239"/>
    </row>
    <row r="1351" spans="1:8" ht="18" customHeight="1">
      <c r="A1351" s="239"/>
      <c r="B1351" s="239"/>
      <c r="C1351" s="239"/>
      <c r="D1351" s="239"/>
      <c r="E1351" s="239"/>
      <c r="F1351" s="239"/>
      <c r="G1351" s="239"/>
      <c r="H1351" s="239"/>
    </row>
    <row r="1352" spans="1:8" ht="18" customHeight="1">
      <c r="A1352" s="239"/>
      <c r="B1352" s="239"/>
      <c r="C1352" s="239"/>
      <c r="D1352" s="239"/>
      <c r="E1352" s="239"/>
      <c r="F1352" s="239"/>
      <c r="G1352" s="239"/>
      <c r="H1352" s="239"/>
    </row>
    <row r="1353" spans="1:8" ht="18" customHeight="1">
      <c r="A1353" s="239"/>
      <c r="B1353" s="239"/>
      <c r="C1353" s="239"/>
      <c r="D1353" s="239"/>
      <c r="E1353" s="239"/>
      <c r="F1353" s="239"/>
      <c r="G1353" s="239"/>
      <c r="H1353" s="239"/>
    </row>
    <row r="1354" spans="1:8" ht="18" customHeight="1">
      <c r="A1354" s="239"/>
      <c r="B1354" s="239"/>
      <c r="C1354" s="239"/>
      <c r="D1354" s="239"/>
      <c r="E1354" s="239"/>
      <c r="F1354" s="239"/>
      <c r="G1354" s="239"/>
      <c r="H1354" s="239"/>
    </row>
    <row r="1355" spans="1:8" ht="18" customHeight="1">
      <c r="A1355" s="239"/>
      <c r="B1355" s="239"/>
      <c r="C1355" s="239"/>
      <c r="D1355" s="239"/>
      <c r="E1355" s="239"/>
      <c r="F1355" s="239"/>
      <c r="G1355" s="239"/>
      <c r="H1355" s="239"/>
    </row>
    <row r="1356" spans="1:8" ht="18" customHeight="1">
      <c r="A1356" s="239"/>
      <c r="B1356" s="239"/>
      <c r="C1356" s="239"/>
      <c r="D1356" s="239"/>
      <c r="E1356" s="239"/>
      <c r="F1356" s="239"/>
      <c r="G1356" s="239"/>
      <c r="H1356" s="239"/>
    </row>
    <row r="1357" spans="1:8" ht="18" customHeight="1">
      <c r="A1357" s="239"/>
      <c r="B1357" s="239"/>
      <c r="C1357" s="239"/>
      <c r="D1357" s="239"/>
      <c r="E1357" s="239"/>
      <c r="F1357" s="239"/>
      <c r="G1357" s="239"/>
      <c r="H1357" s="239"/>
    </row>
    <row r="1358" spans="1:8" ht="18" customHeight="1">
      <c r="A1358" s="239"/>
      <c r="B1358" s="239"/>
      <c r="C1358" s="239"/>
      <c r="D1358" s="239"/>
      <c r="E1358" s="239"/>
      <c r="F1358" s="239"/>
      <c r="G1358" s="239"/>
      <c r="H1358" s="239"/>
    </row>
    <row r="1359" spans="1:8" ht="18" customHeight="1">
      <c r="A1359" s="239"/>
      <c r="B1359" s="239"/>
      <c r="C1359" s="239"/>
      <c r="D1359" s="239"/>
      <c r="E1359" s="239"/>
      <c r="F1359" s="239"/>
      <c r="G1359" s="239"/>
      <c r="H1359" s="239"/>
    </row>
    <row r="1360" spans="1:8" ht="18" customHeight="1">
      <c r="A1360" s="239"/>
      <c r="B1360" s="239"/>
      <c r="C1360" s="239"/>
      <c r="D1360" s="239"/>
      <c r="E1360" s="239"/>
      <c r="F1360" s="239"/>
      <c r="G1360" s="239"/>
      <c r="H1360" s="239"/>
    </row>
    <row r="1361" spans="1:8" ht="18" customHeight="1">
      <c r="A1361" s="239"/>
      <c r="B1361" s="239"/>
      <c r="C1361" s="239"/>
      <c r="D1361" s="239"/>
      <c r="E1361" s="239"/>
      <c r="F1361" s="239"/>
      <c r="G1361" s="239"/>
      <c r="H1361" s="239"/>
    </row>
    <row r="1362" spans="1:8" ht="18" customHeight="1">
      <c r="A1362" s="239"/>
      <c r="B1362" s="239"/>
      <c r="C1362" s="239"/>
      <c r="D1362" s="239"/>
      <c r="E1362" s="239"/>
      <c r="F1362" s="239"/>
      <c r="G1362" s="239"/>
      <c r="H1362" s="239"/>
    </row>
    <row r="1363" spans="1:8" ht="18" customHeight="1">
      <c r="A1363" s="239"/>
      <c r="B1363" s="239"/>
      <c r="C1363" s="239"/>
      <c r="D1363" s="239"/>
      <c r="E1363" s="239"/>
      <c r="F1363" s="239"/>
      <c r="G1363" s="239"/>
      <c r="H1363" s="239"/>
    </row>
    <row r="1364" spans="1:8" ht="18" customHeight="1">
      <c r="A1364" s="239"/>
      <c r="B1364" s="239"/>
      <c r="C1364" s="239"/>
      <c r="D1364" s="239"/>
      <c r="E1364" s="239"/>
      <c r="F1364" s="239"/>
      <c r="G1364" s="239"/>
      <c r="H1364" s="239"/>
    </row>
    <row r="1365" spans="1:8" ht="18" customHeight="1">
      <c r="A1365" s="239"/>
      <c r="B1365" s="239"/>
      <c r="C1365" s="239"/>
      <c r="D1365" s="239"/>
      <c r="E1365" s="239"/>
      <c r="F1365" s="239"/>
      <c r="G1365" s="239"/>
      <c r="H1365" s="239"/>
    </row>
    <row r="1366" spans="1:8" ht="18" customHeight="1">
      <c r="A1366" s="239"/>
      <c r="B1366" s="239"/>
      <c r="C1366" s="239"/>
      <c r="D1366" s="239"/>
      <c r="E1366" s="239"/>
      <c r="F1366" s="239"/>
      <c r="G1366" s="239"/>
      <c r="H1366" s="239"/>
    </row>
    <row r="1367" spans="1:8" ht="18" customHeight="1">
      <c r="A1367" s="239"/>
      <c r="B1367" s="239"/>
      <c r="C1367" s="239"/>
      <c r="D1367" s="239"/>
      <c r="E1367" s="239"/>
      <c r="F1367" s="239"/>
      <c r="G1367" s="239"/>
      <c r="H1367" s="239"/>
    </row>
    <row r="1368" spans="1:8" ht="18" customHeight="1">
      <c r="A1368" s="239"/>
      <c r="B1368" s="239"/>
      <c r="C1368" s="239"/>
      <c r="D1368" s="239"/>
      <c r="E1368" s="239"/>
      <c r="F1368" s="239"/>
      <c r="G1368" s="239"/>
      <c r="H1368" s="239"/>
    </row>
    <row r="1369" spans="1:8" ht="18" customHeight="1">
      <c r="A1369" s="239"/>
      <c r="B1369" s="239"/>
      <c r="C1369" s="239"/>
      <c r="D1369" s="239"/>
      <c r="E1369" s="239"/>
      <c r="F1369" s="239"/>
      <c r="G1369" s="239"/>
      <c r="H1369" s="239"/>
    </row>
    <row r="1370" spans="1:8" ht="18" customHeight="1">
      <c r="A1370" s="239"/>
      <c r="B1370" s="239"/>
      <c r="C1370" s="239"/>
      <c r="D1370" s="239"/>
      <c r="E1370" s="239"/>
      <c r="F1370" s="239"/>
      <c r="G1370" s="239"/>
      <c r="H1370" s="239"/>
    </row>
    <row r="1371" spans="1:8" ht="18" customHeight="1">
      <c r="A1371" s="239"/>
      <c r="B1371" s="239"/>
      <c r="C1371" s="239"/>
      <c r="D1371" s="239"/>
      <c r="E1371" s="239"/>
      <c r="F1371" s="239"/>
      <c r="G1371" s="239"/>
      <c r="H1371" s="239"/>
    </row>
    <row r="1372" spans="1:8" ht="18" customHeight="1">
      <c r="A1372" s="239"/>
      <c r="B1372" s="239"/>
      <c r="C1372" s="239"/>
      <c r="D1372" s="239"/>
      <c r="E1372" s="239"/>
      <c r="F1372" s="239"/>
      <c r="G1372" s="239"/>
      <c r="H1372" s="239"/>
    </row>
    <row r="1373" spans="1:8" ht="18" customHeight="1">
      <c r="A1373" s="239"/>
      <c r="B1373" s="239"/>
      <c r="C1373" s="239"/>
      <c r="D1373" s="239"/>
      <c r="E1373" s="239"/>
      <c r="F1373" s="239"/>
      <c r="G1373" s="239"/>
      <c r="H1373" s="239"/>
    </row>
    <row r="1374" spans="1:8" ht="18" customHeight="1">
      <c r="A1374" s="239"/>
      <c r="B1374" s="239"/>
      <c r="C1374" s="239"/>
      <c r="D1374" s="239"/>
      <c r="E1374" s="239"/>
      <c r="F1374" s="239"/>
      <c r="G1374" s="239"/>
      <c r="H1374" s="239"/>
    </row>
    <row r="1375" spans="1:8" ht="18" customHeight="1">
      <c r="A1375" s="239"/>
      <c r="B1375" s="239"/>
      <c r="C1375" s="239"/>
      <c r="D1375" s="239"/>
      <c r="E1375" s="239"/>
      <c r="F1375" s="239"/>
      <c r="G1375" s="239"/>
      <c r="H1375" s="239"/>
    </row>
    <row r="1376" spans="1:8" ht="18" customHeight="1">
      <c r="A1376" s="239"/>
      <c r="B1376" s="239"/>
      <c r="C1376" s="239"/>
      <c r="D1376" s="239"/>
      <c r="E1376" s="239"/>
      <c r="F1376" s="239"/>
      <c r="G1376" s="239"/>
      <c r="H1376" s="239"/>
    </row>
    <row r="1377" spans="1:8" ht="18" customHeight="1">
      <c r="A1377" s="239"/>
      <c r="B1377" s="239"/>
      <c r="C1377" s="239"/>
      <c r="D1377" s="239"/>
      <c r="E1377" s="239"/>
      <c r="F1377" s="239"/>
      <c r="G1377" s="239"/>
      <c r="H1377" s="239"/>
    </row>
    <row r="1378" spans="1:8" ht="18" customHeight="1">
      <c r="A1378" s="239"/>
      <c r="B1378" s="239"/>
      <c r="C1378" s="239"/>
      <c r="D1378" s="239"/>
      <c r="E1378" s="239"/>
      <c r="F1378" s="239"/>
      <c r="G1378" s="239"/>
      <c r="H1378" s="239"/>
    </row>
    <row r="1379" spans="1:8" ht="18" customHeight="1">
      <c r="A1379" s="239"/>
      <c r="B1379" s="239"/>
      <c r="C1379" s="239"/>
      <c r="D1379" s="239"/>
      <c r="E1379" s="239"/>
      <c r="F1379" s="239"/>
      <c r="G1379" s="239"/>
      <c r="H1379" s="239"/>
    </row>
    <row r="1380" spans="1:8" ht="18" customHeight="1">
      <c r="A1380" s="239"/>
      <c r="B1380" s="239"/>
      <c r="C1380" s="239"/>
      <c r="D1380" s="239"/>
      <c r="E1380" s="239"/>
      <c r="F1380" s="239"/>
      <c r="G1380" s="239"/>
      <c r="H1380" s="239"/>
    </row>
    <row r="1381" spans="1:8" ht="18" customHeight="1">
      <c r="A1381" s="239"/>
      <c r="B1381" s="239"/>
      <c r="C1381" s="239"/>
      <c r="D1381" s="239"/>
      <c r="E1381" s="239"/>
      <c r="F1381" s="239"/>
      <c r="G1381" s="239"/>
      <c r="H1381" s="239"/>
    </row>
    <row r="1382" spans="1:8" ht="18" customHeight="1">
      <c r="A1382" s="239"/>
      <c r="B1382" s="239"/>
      <c r="C1382" s="239"/>
      <c r="D1382" s="239"/>
      <c r="E1382" s="239"/>
      <c r="F1382" s="239"/>
      <c r="G1382" s="239"/>
      <c r="H1382" s="239"/>
    </row>
    <row r="1383" spans="1:8" ht="18" customHeight="1">
      <c r="A1383" s="239"/>
      <c r="B1383" s="239"/>
      <c r="C1383" s="239"/>
      <c r="D1383" s="239"/>
      <c r="E1383" s="239"/>
      <c r="F1383" s="239"/>
      <c r="G1383" s="239"/>
      <c r="H1383" s="239"/>
    </row>
    <row r="1384" spans="1:8" ht="18" customHeight="1">
      <c r="A1384" s="239"/>
      <c r="B1384" s="239"/>
      <c r="C1384" s="239"/>
      <c r="D1384" s="239"/>
      <c r="E1384" s="239"/>
      <c r="F1384" s="239"/>
      <c r="G1384" s="239"/>
      <c r="H1384" s="239"/>
    </row>
    <row r="1385" spans="1:8" ht="18" customHeight="1">
      <c r="A1385" s="239"/>
      <c r="B1385" s="239"/>
      <c r="C1385" s="239"/>
      <c r="D1385" s="239"/>
      <c r="E1385" s="239"/>
      <c r="F1385" s="239"/>
      <c r="G1385" s="239"/>
      <c r="H1385" s="239"/>
    </row>
    <row r="1386" spans="1:8" ht="18" customHeight="1">
      <c r="A1386" s="239"/>
      <c r="B1386" s="239"/>
      <c r="C1386" s="239"/>
      <c r="D1386" s="239"/>
      <c r="E1386" s="239"/>
      <c r="F1386" s="239"/>
      <c r="G1386" s="239"/>
      <c r="H1386" s="239"/>
    </row>
    <row r="1387" spans="1:8" ht="18" customHeight="1">
      <c r="A1387" s="239"/>
      <c r="B1387" s="239"/>
      <c r="C1387" s="239"/>
      <c r="D1387" s="239"/>
      <c r="E1387" s="239"/>
      <c r="F1387" s="239"/>
      <c r="G1387" s="239"/>
      <c r="H1387" s="239"/>
    </row>
    <row r="1388" spans="1:8" ht="18" customHeight="1">
      <c r="A1388" s="239"/>
      <c r="B1388" s="239"/>
      <c r="C1388" s="239"/>
      <c r="D1388" s="239"/>
      <c r="E1388" s="239"/>
      <c r="F1388" s="239"/>
      <c r="G1388" s="239"/>
      <c r="H1388" s="239"/>
    </row>
    <row r="1389" spans="1:8" ht="18" customHeight="1">
      <c r="A1389" s="239"/>
      <c r="B1389" s="239"/>
      <c r="C1389" s="239"/>
      <c r="D1389" s="239"/>
      <c r="E1389" s="239"/>
      <c r="F1389" s="239"/>
      <c r="G1389" s="239"/>
      <c r="H1389" s="239"/>
    </row>
    <row r="1390" spans="1:8" ht="18" customHeight="1">
      <c r="A1390" s="239"/>
      <c r="B1390" s="239"/>
      <c r="C1390" s="239"/>
      <c r="D1390" s="239"/>
      <c r="E1390" s="239"/>
      <c r="F1390" s="239"/>
      <c r="G1390" s="239"/>
      <c r="H1390" s="239"/>
    </row>
    <row r="1391" spans="1:8" ht="18" customHeight="1">
      <c r="A1391" s="239"/>
      <c r="B1391" s="239"/>
      <c r="C1391" s="239"/>
      <c r="D1391" s="239"/>
      <c r="E1391" s="239"/>
      <c r="F1391" s="239"/>
      <c r="G1391" s="239"/>
      <c r="H1391" s="239"/>
    </row>
    <row r="1392" spans="1:8" ht="18" customHeight="1">
      <c r="A1392" s="239"/>
      <c r="B1392" s="239"/>
      <c r="C1392" s="239"/>
      <c r="D1392" s="239"/>
      <c r="E1392" s="239"/>
      <c r="F1392" s="239"/>
      <c r="G1392" s="239"/>
      <c r="H1392" s="239"/>
    </row>
    <row r="1393" spans="1:8" ht="18" customHeight="1">
      <c r="A1393" s="239"/>
      <c r="B1393" s="239"/>
      <c r="C1393" s="239"/>
      <c r="D1393" s="239"/>
      <c r="E1393" s="239"/>
      <c r="F1393" s="239"/>
      <c r="G1393" s="239"/>
      <c r="H1393" s="239"/>
    </row>
    <row r="1394" spans="1:8" ht="18" customHeight="1">
      <c r="A1394" s="239"/>
      <c r="B1394" s="239"/>
      <c r="C1394" s="239"/>
      <c r="D1394" s="239"/>
      <c r="E1394" s="239"/>
      <c r="F1394" s="239"/>
      <c r="G1394" s="239"/>
      <c r="H1394" s="239"/>
    </row>
    <row r="1395" spans="1:8" ht="18" customHeight="1">
      <c r="A1395" s="239"/>
      <c r="B1395" s="239"/>
      <c r="C1395" s="239"/>
      <c r="D1395" s="239"/>
      <c r="E1395" s="239"/>
      <c r="F1395" s="239"/>
      <c r="G1395" s="239"/>
      <c r="H1395" s="239"/>
    </row>
    <row r="1396" spans="1:8" ht="18" customHeight="1">
      <c r="A1396" s="239"/>
      <c r="B1396" s="239"/>
      <c r="C1396" s="239"/>
      <c r="D1396" s="239"/>
      <c r="E1396" s="239"/>
      <c r="F1396" s="239"/>
      <c r="G1396" s="239"/>
      <c r="H1396" s="239"/>
    </row>
    <row r="1397" spans="1:8" ht="18" customHeight="1">
      <c r="A1397" s="239"/>
      <c r="B1397" s="239"/>
      <c r="C1397" s="239"/>
      <c r="D1397" s="239"/>
      <c r="E1397" s="239"/>
      <c r="F1397" s="239"/>
      <c r="G1397" s="239"/>
      <c r="H1397" s="239"/>
    </row>
    <row r="1398" spans="1:8" ht="18" customHeight="1">
      <c r="A1398" s="239"/>
      <c r="B1398" s="239"/>
      <c r="C1398" s="239"/>
      <c r="D1398" s="239"/>
      <c r="E1398" s="239"/>
      <c r="F1398" s="239"/>
      <c r="G1398" s="239"/>
      <c r="H1398" s="239"/>
    </row>
    <row r="1399" spans="1:8" ht="18" customHeight="1">
      <c r="A1399" s="239"/>
      <c r="B1399" s="239"/>
      <c r="C1399" s="239"/>
      <c r="D1399" s="239"/>
      <c r="E1399" s="239"/>
      <c r="F1399" s="239"/>
      <c r="G1399" s="239"/>
      <c r="H1399" s="239"/>
    </row>
    <row r="1400" spans="1:8" ht="18" customHeight="1">
      <c r="A1400" s="239"/>
      <c r="B1400" s="239"/>
      <c r="C1400" s="239"/>
      <c r="D1400" s="239"/>
      <c r="E1400" s="239"/>
      <c r="F1400" s="239"/>
      <c r="G1400" s="239"/>
      <c r="H1400" s="239"/>
    </row>
    <row r="1401" spans="1:8" ht="18" customHeight="1">
      <c r="A1401" s="239"/>
      <c r="B1401" s="239"/>
      <c r="C1401" s="239"/>
      <c r="D1401" s="239"/>
      <c r="E1401" s="239"/>
      <c r="F1401" s="239"/>
      <c r="G1401" s="239"/>
      <c r="H1401" s="239"/>
    </row>
    <row r="1402" spans="1:8" ht="18" customHeight="1">
      <c r="A1402" s="239"/>
      <c r="B1402" s="239"/>
      <c r="C1402" s="239"/>
      <c r="D1402" s="239"/>
      <c r="E1402" s="239"/>
      <c r="F1402" s="239"/>
      <c r="G1402" s="239"/>
      <c r="H1402" s="239"/>
    </row>
    <row r="1403" spans="1:8" ht="18" customHeight="1">
      <c r="A1403" s="239"/>
      <c r="B1403" s="239"/>
      <c r="C1403" s="239"/>
      <c r="D1403" s="239"/>
      <c r="E1403" s="239"/>
      <c r="F1403" s="239"/>
      <c r="G1403" s="239"/>
      <c r="H1403" s="239"/>
    </row>
    <row r="1404" spans="1:8" ht="18" customHeight="1">
      <c r="A1404" s="239"/>
      <c r="B1404" s="239"/>
      <c r="C1404" s="239"/>
      <c r="D1404" s="239"/>
      <c r="E1404" s="239"/>
      <c r="F1404" s="239"/>
      <c r="G1404" s="239"/>
      <c r="H1404" s="239"/>
    </row>
    <row r="1405" spans="1:8" ht="18" customHeight="1">
      <c r="A1405" s="239"/>
      <c r="B1405" s="239"/>
      <c r="C1405" s="239"/>
      <c r="D1405" s="239"/>
      <c r="E1405" s="239"/>
      <c r="F1405" s="239"/>
      <c r="G1405" s="239"/>
      <c r="H1405" s="239"/>
    </row>
    <row r="1406" spans="1:8" ht="18" customHeight="1">
      <c r="A1406" s="239"/>
      <c r="B1406" s="239"/>
      <c r="C1406" s="239"/>
      <c r="D1406" s="239"/>
      <c r="E1406" s="239"/>
      <c r="F1406" s="239"/>
      <c r="G1406" s="239"/>
      <c r="H1406" s="239"/>
    </row>
    <row r="1407" spans="1:8" ht="18" customHeight="1">
      <c r="A1407" s="239"/>
      <c r="B1407" s="239"/>
      <c r="C1407" s="239"/>
      <c r="D1407" s="239"/>
      <c r="E1407" s="239"/>
      <c r="F1407" s="239"/>
      <c r="G1407" s="239"/>
      <c r="H1407" s="239"/>
    </row>
    <row r="1408" spans="1:8" ht="18" customHeight="1">
      <c r="A1408" s="239"/>
      <c r="B1408" s="239"/>
      <c r="C1408" s="239"/>
      <c r="D1408" s="239"/>
      <c r="E1408" s="239"/>
      <c r="F1408" s="239"/>
      <c r="G1408" s="239"/>
      <c r="H1408" s="239"/>
    </row>
    <row r="1409" spans="1:8" ht="18" customHeight="1">
      <c r="A1409" s="239"/>
      <c r="B1409" s="239"/>
      <c r="C1409" s="239"/>
      <c r="D1409" s="239"/>
      <c r="E1409" s="239"/>
      <c r="F1409" s="239"/>
      <c r="G1409" s="239"/>
      <c r="H1409" s="239"/>
    </row>
    <row r="1410" spans="1:8" ht="18" customHeight="1">
      <c r="A1410" s="239"/>
      <c r="B1410" s="239"/>
      <c r="C1410" s="239"/>
      <c r="D1410" s="239"/>
      <c r="E1410" s="239"/>
      <c r="F1410" s="239"/>
      <c r="G1410" s="239"/>
      <c r="H1410" s="239"/>
    </row>
    <row r="1411" spans="1:8" ht="18" customHeight="1">
      <c r="A1411" s="239"/>
      <c r="B1411" s="239"/>
      <c r="C1411" s="239"/>
      <c r="D1411" s="239"/>
      <c r="E1411" s="239"/>
      <c r="F1411" s="239"/>
      <c r="G1411" s="239"/>
      <c r="H1411" s="239"/>
    </row>
    <row r="1412" spans="1:8" ht="18" customHeight="1">
      <c r="A1412" s="239"/>
      <c r="B1412" s="239"/>
      <c r="C1412" s="239"/>
      <c r="D1412" s="239"/>
      <c r="E1412" s="239"/>
      <c r="F1412" s="239"/>
      <c r="G1412" s="239"/>
      <c r="H1412" s="239"/>
    </row>
    <row r="1413" spans="1:8" ht="18" customHeight="1">
      <c r="A1413" s="239"/>
      <c r="B1413" s="239"/>
      <c r="C1413" s="239"/>
      <c r="D1413" s="239"/>
      <c r="E1413" s="239"/>
      <c r="F1413" s="239"/>
      <c r="G1413" s="239"/>
      <c r="H1413" s="239"/>
    </row>
    <row r="1414" spans="1:8" ht="18" customHeight="1">
      <c r="A1414" s="239"/>
      <c r="B1414" s="239"/>
      <c r="C1414" s="239"/>
      <c r="D1414" s="239"/>
      <c r="E1414" s="239"/>
      <c r="F1414" s="239"/>
      <c r="G1414" s="239"/>
      <c r="H1414" s="239"/>
    </row>
    <row r="1415" spans="1:8" ht="18" customHeight="1">
      <c r="A1415" s="239"/>
      <c r="B1415" s="239"/>
      <c r="C1415" s="239"/>
      <c r="D1415" s="239"/>
      <c r="E1415" s="239"/>
      <c r="F1415" s="239"/>
      <c r="G1415" s="239"/>
      <c r="H1415" s="239"/>
    </row>
    <row r="1416" spans="1:8" ht="18" customHeight="1">
      <c r="A1416" s="239"/>
      <c r="B1416" s="239"/>
      <c r="C1416" s="239"/>
      <c r="D1416" s="239"/>
      <c r="E1416" s="239"/>
      <c r="F1416" s="239"/>
      <c r="G1416" s="239"/>
      <c r="H1416" s="239"/>
    </row>
    <row r="1417" spans="1:8" ht="18" customHeight="1">
      <c r="A1417" s="239"/>
      <c r="B1417" s="239"/>
      <c r="C1417" s="239"/>
      <c r="D1417" s="239"/>
      <c r="E1417" s="239"/>
      <c r="F1417" s="239"/>
      <c r="G1417" s="239"/>
      <c r="H1417" s="239"/>
    </row>
    <row r="1418" spans="1:8" ht="18" customHeight="1">
      <c r="A1418" s="239"/>
      <c r="B1418" s="239"/>
      <c r="C1418" s="239"/>
      <c r="D1418" s="239"/>
      <c r="E1418" s="239"/>
      <c r="F1418" s="239"/>
      <c r="G1418" s="239"/>
      <c r="H1418" s="239"/>
    </row>
    <row r="1419" spans="1:8" ht="18" customHeight="1">
      <c r="A1419" s="239"/>
      <c r="B1419" s="239"/>
      <c r="C1419" s="239"/>
      <c r="D1419" s="239"/>
      <c r="E1419" s="239"/>
      <c r="F1419" s="239"/>
      <c r="G1419" s="239"/>
      <c r="H1419" s="239"/>
    </row>
    <row r="1420" spans="1:8" ht="18" customHeight="1">
      <c r="A1420" s="239"/>
      <c r="B1420" s="239"/>
      <c r="C1420" s="239"/>
      <c r="D1420" s="239"/>
      <c r="E1420" s="239"/>
      <c r="F1420" s="239"/>
      <c r="G1420" s="239"/>
      <c r="H1420" s="239"/>
    </row>
    <row r="1421" spans="1:8" ht="18" customHeight="1">
      <c r="A1421" s="239"/>
      <c r="B1421" s="239"/>
      <c r="C1421" s="239"/>
      <c r="D1421" s="239"/>
      <c r="E1421" s="239"/>
      <c r="F1421" s="239"/>
      <c r="G1421" s="239"/>
      <c r="H1421" s="239"/>
    </row>
    <row r="1422" spans="1:8" ht="18" customHeight="1">
      <c r="A1422" s="239"/>
      <c r="B1422" s="239"/>
      <c r="C1422" s="239"/>
      <c r="D1422" s="239"/>
      <c r="E1422" s="239"/>
      <c r="F1422" s="239"/>
      <c r="G1422" s="239"/>
      <c r="H1422" s="239"/>
    </row>
    <row r="1423" spans="1:8" ht="18" customHeight="1">
      <c r="A1423" s="239"/>
      <c r="B1423" s="239"/>
      <c r="C1423" s="239"/>
      <c r="D1423" s="239"/>
      <c r="E1423" s="239"/>
      <c r="F1423" s="239"/>
      <c r="G1423" s="239"/>
      <c r="H1423" s="239"/>
    </row>
    <row r="1424" spans="1:8" ht="18" customHeight="1">
      <c r="A1424" s="239"/>
      <c r="B1424" s="239"/>
      <c r="C1424" s="239"/>
      <c r="D1424" s="239"/>
      <c r="E1424" s="239"/>
      <c r="F1424" s="239"/>
      <c r="G1424" s="239"/>
      <c r="H1424" s="239"/>
    </row>
    <row r="1425" spans="1:8" ht="18" customHeight="1">
      <c r="A1425" s="239"/>
      <c r="B1425" s="239"/>
      <c r="C1425" s="239"/>
      <c r="D1425" s="239"/>
      <c r="E1425" s="239"/>
      <c r="F1425" s="239"/>
      <c r="G1425" s="239"/>
      <c r="H1425" s="239"/>
    </row>
    <row r="1426" spans="1:8" ht="18" customHeight="1">
      <c r="A1426" s="239"/>
      <c r="B1426" s="239"/>
      <c r="C1426" s="239"/>
      <c r="D1426" s="239"/>
      <c r="E1426" s="239"/>
      <c r="F1426" s="239"/>
      <c r="G1426" s="239"/>
      <c r="H1426" s="239"/>
    </row>
    <row r="1427" spans="1:8" ht="18" customHeight="1">
      <c r="A1427" s="239"/>
      <c r="B1427" s="239"/>
      <c r="C1427" s="239"/>
      <c r="D1427" s="239"/>
      <c r="E1427" s="239"/>
      <c r="F1427" s="239"/>
      <c r="G1427" s="239"/>
      <c r="H1427" s="239"/>
    </row>
    <row r="1428" spans="1:8" ht="18" customHeight="1">
      <c r="A1428" s="239"/>
      <c r="B1428" s="239"/>
      <c r="C1428" s="239"/>
      <c r="D1428" s="239"/>
      <c r="E1428" s="239"/>
      <c r="F1428" s="239"/>
      <c r="G1428" s="239"/>
      <c r="H1428" s="239"/>
    </row>
    <row r="1429" spans="1:8" ht="18" customHeight="1">
      <c r="A1429" s="239"/>
      <c r="B1429" s="239"/>
      <c r="C1429" s="239"/>
      <c r="D1429" s="239"/>
      <c r="E1429" s="239"/>
      <c r="F1429" s="239"/>
      <c r="G1429" s="239"/>
      <c r="H1429" s="239"/>
    </row>
    <row r="1430" spans="1:8" ht="18" customHeight="1">
      <c r="A1430" s="239"/>
      <c r="B1430" s="239"/>
      <c r="C1430" s="239"/>
      <c r="D1430" s="239"/>
      <c r="E1430" s="239"/>
      <c r="F1430" s="239"/>
      <c r="G1430" s="239"/>
      <c r="H1430" s="239"/>
    </row>
    <row r="1431" spans="1:8" ht="18" customHeight="1">
      <c r="A1431" s="239"/>
      <c r="B1431" s="239"/>
      <c r="C1431" s="239"/>
      <c r="D1431" s="239"/>
      <c r="E1431" s="239"/>
      <c r="F1431" s="239"/>
      <c r="G1431" s="239"/>
      <c r="H1431" s="239"/>
    </row>
    <row r="1432" spans="1:8" ht="18" customHeight="1">
      <c r="A1432" s="239"/>
      <c r="B1432" s="239"/>
      <c r="C1432" s="239"/>
      <c r="D1432" s="239"/>
      <c r="E1432" s="239"/>
      <c r="F1432" s="239"/>
      <c r="G1432" s="239"/>
      <c r="H1432" s="239"/>
    </row>
    <row r="1433" spans="1:8" ht="18" customHeight="1">
      <c r="A1433" s="239"/>
      <c r="B1433" s="239"/>
      <c r="C1433" s="239"/>
      <c r="D1433" s="239"/>
      <c r="E1433" s="239"/>
      <c r="F1433" s="239"/>
      <c r="G1433" s="239"/>
      <c r="H1433" s="239"/>
    </row>
    <row r="1434" spans="1:8" ht="18" customHeight="1">
      <c r="A1434" s="239"/>
      <c r="B1434" s="239"/>
      <c r="C1434" s="239"/>
      <c r="D1434" s="239"/>
      <c r="E1434" s="239"/>
      <c r="F1434" s="239"/>
      <c r="G1434" s="239"/>
      <c r="H1434" s="239"/>
    </row>
    <row r="1435" spans="1:8" ht="18" customHeight="1">
      <c r="A1435" s="239"/>
      <c r="B1435" s="239"/>
      <c r="C1435" s="239"/>
      <c r="D1435" s="239"/>
      <c r="E1435" s="239"/>
      <c r="F1435" s="239"/>
      <c r="G1435" s="239"/>
      <c r="H1435" s="239"/>
    </row>
    <row r="1436" spans="1:8" ht="18" customHeight="1">
      <c r="A1436" s="239"/>
      <c r="B1436" s="239"/>
      <c r="C1436" s="239"/>
      <c r="D1436" s="239"/>
      <c r="E1436" s="239"/>
      <c r="F1436" s="239"/>
      <c r="G1436" s="239"/>
      <c r="H1436" s="239"/>
    </row>
    <row r="1437" spans="1:8" ht="18" customHeight="1">
      <c r="A1437" s="239"/>
      <c r="B1437" s="239"/>
      <c r="C1437" s="239"/>
      <c r="D1437" s="239"/>
      <c r="E1437" s="239"/>
      <c r="F1437" s="239"/>
      <c r="G1437" s="239"/>
      <c r="H1437" s="239"/>
    </row>
    <row r="1438" spans="1:8" ht="18" customHeight="1">
      <c r="A1438" s="239"/>
      <c r="B1438" s="239"/>
      <c r="C1438" s="239"/>
      <c r="D1438" s="239"/>
      <c r="E1438" s="239"/>
      <c r="F1438" s="239"/>
      <c r="G1438" s="239"/>
      <c r="H1438" s="239"/>
    </row>
    <row r="1439" spans="1:8" ht="18" customHeight="1">
      <c r="A1439" s="239"/>
      <c r="B1439" s="239"/>
      <c r="C1439" s="239"/>
      <c r="D1439" s="239"/>
      <c r="E1439" s="239"/>
      <c r="F1439" s="239"/>
      <c r="G1439" s="239"/>
      <c r="H1439" s="239"/>
    </row>
    <row r="1440" spans="1:8" ht="18" customHeight="1">
      <c r="A1440" s="239"/>
      <c r="B1440" s="239"/>
      <c r="C1440" s="239"/>
      <c r="D1440" s="239"/>
      <c r="E1440" s="239"/>
      <c r="F1440" s="239"/>
      <c r="G1440" s="239"/>
      <c r="H1440" s="239"/>
    </row>
    <row r="1441" spans="1:8" ht="18" customHeight="1">
      <c r="A1441" s="239"/>
      <c r="B1441" s="239"/>
      <c r="C1441" s="239"/>
      <c r="D1441" s="239"/>
      <c r="E1441" s="239"/>
      <c r="F1441" s="239"/>
      <c r="G1441" s="239"/>
      <c r="H1441" s="239"/>
    </row>
    <row r="1442" spans="1:8" ht="18" customHeight="1">
      <c r="A1442" s="239"/>
      <c r="B1442" s="239"/>
      <c r="C1442" s="239"/>
      <c r="D1442" s="239"/>
      <c r="E1442" s="239"/>
      <c r="F1442" s="239"/>
      <c r="G1442" s="239"/>
      <c r="H1442" s="239"/>
    </row>
    <row r="1443" spans="1:8" ht="18" customHeight="1">
      <c r="A1443" s="239"/>
      <c r="B1443" s="239"/>
      <c r="C1443" s="239"/>
      <c r="D1443" s="239"/>
      <c r="E1443" s="239"/>
      <c r="F1443" s="239"/>
      <c r="G1443" s="239"/>
      <c r="H1443" s="239"/>
    </row>
    <row r="1444" spans="1:8" ht="18" customHeight="1">
      <c r="A1444" s="239"/>
      <c r="B1444" s="239"/>
      <c r="C1444" s="239"/>
      <c r="D1444" s="239"/>
      <c r="E1444" s="239"/>
      <c r="F1444" s="239"/>
      <c r="G1444" s="239"/>
      <c r="H1444" s="239"/>
    </row>
    <row r="1445" spans="1:8" ht="18" customHeight="1">
      <c r="A1445" s="239"/>
      <c r="B1445" s="239"/>
      <c r="C1445" s="239"/>
      <c r="D1445" s="239"/>
      <c r="E1445" s="239"/>
      <c r="F1445" s="239"/>
      <c r="G1445" s="239"/>
      <c r="H1445" s="239"/>
    </row>
    <row r="1446" spans="1:8" ht="18" customHeight="1">
      <c r="A1446" s="239"/>
      <c r="B1446" s="239"/>
      <c r="C1446" s="239"/>
      <c r="D1446" s="239"/>
      <c r="E1446" s="239"/>
      <c r="F1446" s="239"/>
      <c r="G1446" s="239"/>
      <c r="H1446" s="239"/>
    </row>
    <row r="1447" spans="1:8" ht="18" customHeight="1">
      <c r="A1447" s="239"/>
      <c r="B1447" s="239"/>
      <c r="C1447" s="239"/>
      <c r="D1447" s="239"/>
      <c r="E1447" s="239"/>
      <c r="F1447" s="239"/>
      <c r="G1447" s="239"/>
      <c r="H1447" s="239"/>
    </row>
    <row r="1448" spans="1:8" ht="18" customHeight="1">
      <c r="A1448" s="239"/>
      <c r="B1448" s="239"/>
      <c r="C1448" s="239"/>
      <c r="D1448" s="239"/>
      <c r="E1448" s="239"/>
      <c r="F1448" s="239"/>
      <c r="G1448" s="239"/>
      <c r="H1448" s="239"/>
    </row>
    <row r="1449" spans="1:8" ht="18" customHeight="1">
      <c r="A1449" s="239"/>
      <c r="B1449" s="239"/>
      <c r="C1449" s="239"/>
      <c r="D1449" s="239"/>
      <c r="E1449" s="239"/>
      <c r="F1449" s="239"/>
      <c r="G1449" s="239"/>
      <c r="H1449" s="239"/>
    </row>
    <row r="1450" spans="1:8" ht="18" customHeight="1">
      <c r="A1450" s="239"/>
      <c r="B1450" s="239"/>
      <c r="C1450" s="239"/>
      <c r="D1450" s="239"/>
      <c r="E1450" s="239"/>
      <c r="F1450" s="239"/>
      <c r="G1450" s="239"/>
      <c r="H1450" s="239"/>
    </row>
    <row r="1451" spans="1:8" ht="18" customHeight="1">
      <c r="A1451" s="239"/>
      <c r="B1451" s="239"/>
      <c r="C1451" s="239"/>
      <c r="D1451" s="239"/>
      <c r="E1451" s="239"/>
      <c r="F1451" s="239"/>
      <c r="G1451" s="239"/>
      <c r="H1451" s="239"/>
    </row>
    <row r="1452" spans="1:8" ht="18" customHeight="1">
      <c r="A1452" s="239"/>
      <c r="B1452" s="239"/>
      <c r="C1452" s="239"/>
      <c r="D1452" s="239"/>
      <c r="E1452" s="239"/>
      <c r="F1452" s="239"/>
      <c r="G1452" s="239"/>
      <c r="H1452" s="239"/>
    </row>
    <row r="1453" spans="1:8" ht="18" customHeight="1">
      <c r="A1453" s="239"/>
      <c r="B1453" s="239"/>
      <c r="C1453" s="239"/>
      <c r="D1453" s="239"/>
      <c r="E1453" s="239"/>
      <c r="F1453" s="239"/>
      <c r="G1453" s="239"/>
      <c r="H1453" s="239"/>
    </row>
    <row r="1454" spans="1:8" ht="18" customHeight="1">
      <c r="A1454" s="239"/>
      <c r="B1454" s="239"/>
      <c r="C1454" s="239"/>
      <c r="D1454" s="239"/>
      <c r="E1454" s="239"/>
      <c r="F1454" s="239"/>
      <c r="G1454" s="239"/>
      <c r="H1454" s="239"/>
    </row>
    <row r="1455" spans="1:8" ht="18" customHeight="1">
      <c r="A1455" s="239"/>
      <c r="B1455" s="239"/>
      <c r="C1455" s="239"/>
      <c r="D1455" s="239"/>
      <c r="E1455" s="239"/>
      <c r="F1455" s="239"/>
      <c r="G1455" s="239"/>
      <c r="H1455" s="239"/>
    </row>
    <row r="1456" spans="1:8" ht="18" customHeight="1">
      <c r="A1456" s="239"/>
      <c r="B1456" s="239"/>
      <c r="C1456" s="239"/>
      <c r="D1456" s="239"/>
      <c r="E1456" s="239"/>
      <c r="F1456" s="239"/>
      <c r="G1456" s="239"/>
      <c r="H1456" s="239"/>
    </row>
    <row r="1457" spans="1:8" ht="18" customHeight="1">
      <c r="A1457" s="239"/>
      <c r="B1457" s="239"/>
      <c r="C1457" s="239"/>
      <c r="D1457" s="239"/>
      <c r="E1457" s="239"/>
      <c r="F1457" s="239"/>
      <c r="G1457" s="239"/>
      <c r="H1457" s="239"/>
    </row>
    <row r="1458" spans="1:8" ht="18" customHeight="1">
      <c r="A1458" s="239"/>
      <c r="B1458" s="239"/>
      <c r="C1458" s="239"/>
      <c r="D1458" s="239"/>
      <c r="E1458" s="239"/>
      <c r="F1458" s="239"/>
      <c r="G1458" s="239"/>
      <c r="H1458" s="239"/>
    </row>
    <row r="1459" spans="1:8" ht="18" customHeight="1">
      <c r="A1459" s="239"/>
      <c r="B1459" s="239"/>
      <c r="C1459" s="239"/>
      <c r="D1459" s="239"/>
      <c r="E1459" s="239"/>
      <c r="F1459" s="239"/>
      <c r="G1459" s="239"/>
      <c r="H1459" s="239"/>
    </row>
    <row r="1460" spans="1:8" ht="18" customHeight="1">
      <c r="A1460" s="239"/>
      <c r="B1460" s="239"/>
      <c r="C1460" s="239"/>
      <c r="D1460" s="239"/>
      <c r="E1460" s="239"/>
      <c r="F1460" s="239"/>
      <c r="G1460" s="239"/>
      <c r="H1460" s="239"/>
    </row>
    <row r="1461" spans="1:8" ht="18" customHeight="1">
      <c r="A1461" s="239"/>
      <c r="B1461" s="239"/>
      <c r="C1461" s="239"/>
      <c r="D1461" s="239"/>
      <c r="E1461" s="239"/>
      <c r="F1461" s="239"/>
      <c r="G1461" s="239"/>
      <c r="H1461" s="239"/>
    </row>
    <row r="1462" spans="1:8" ht="18" customHeight="1">
      <c r="A1462" s="239"/>
      <c r="B1462" s="239"/>
      <c r="C1462" s="239"/>
      <c r="D1462" s="239"/>
      <c r="E1462" s="239"/>
      <c r="F1462" s="239"/>
      <c r="G1462" s="239"/>
      <c r="H1462" s="239"/>
    </row>
    <row r="1463" spans="1:8" ht="18" customHeight="1">
      <c r="A1463" s="239"/>
      <c r="B1463" s="239"/>
      <c r="C1463" s="239"/>
      <c r="D1463" s="239"/>
      <c r="E1463" s="239"/>
      <c r="F1463" s="239"/>
      <c r="G1463" s="239"/>
      <c r="H1463" s="239"/>
    </row>
    <row r="1464" spans="1:8" ht="18" customHeight="1">
      <c r="A1464" s="239"/>
      <c r="B1464" s="239"/>
      <c r="C1464" s="239"/>
      <c r="D1464" s="239"/>
      <c r="E1464" s="239"/>
      <c r="F1464" s="239"/>
      <c r="G1464" s="239"/>
      <c r="H1464" s="239"/>
    </row>
    <row r="1465" spans="1:8" ht="18" customHeight="1">
      <c r="A1465" s="239"/>
      <c r="B1465" s="239"/>
      <c r="C1465" s="239"/>
      <c r="D1465" s="239"/>
      <c r="E1465" s="239"/>
      <c r="F1465" s="239"/>
      <c r="G1465" s="239"/>
      <c r="H1465" s="239"/>
    </row>
    <row r="1466" spans="1:8" ht="18" customHeight="1">
      <c r="A1466" s="239"/>
      <c r="B1466" s="239"/>
      <c r="C1466" s="239"/>
      <c r="D1466" s="239"/>
      <c r="E1466" s="239"/>
      <c r="F1466" s="239"/>
      <c r="G1466" s="239"/>
      <c r="H1466" s="239"/>
    </row>
    <row r="1467" spans="1:8" ht="18" customHeight="1">
      <c r="A1467" s="239"/>
      <c r="B1467" s="239"/>
      <c r="C1467" s="239"/>
      <c r="D1467" s="239"/>
      <c r="E1467" s="239"/>
      <c r="F1467" s="239"/>
      <c r="G1467" s="239"/>
      <c r="H1467" s="239"/>
    </row>
    <row r="1468" spans="1:8" ht="18" customHeight="1">
      <c r="A1468" s="239"/>
      <c r="B1468" s="239"/>
      <c r="C1468" s="239"/>
      <c r="D1468" s="239"/>
      <c r="E1468" s="239"/>
      <c r="F1468" s="239"/>
      <c r="G1468" s="239"/>
      <c r="H1468" s="239"/>
    </row>
    <row r="1469" spans="1:8" ht="18" customHeight="1">
      <c r="A1469" s="239"/>
      <c r="B1469" s="239"/>
      <c r="C1469" s="239"/>
      <c r="D1469" s="239"/>
      <c r="E1469" s="239"/>
      <c r="F1469" s="239"/>
      <c r="G1469" s="239"/>
      <c r="H1469" s="239"/>
    </row>
    <row r="1470" spans="1:8" ht="18" customHeight="1">
      <c r="A1470" s="239"/>
      <c r="B1470" s="239"/>
      <c r="C1470" s="239"/>
      <c r="D1470" s="239"/>
      <c r="E1470" s="239"/>
      <c r="F1470" s="239"/>
      <c r="G1470" s="239"/>
      <c r="H1470" s="239"/>
    </row>
    <row r="1471" spans="1:8" ht="18" customHeight="1">
      <c r="A1471" s="239"/>
      <c r="B1471" s="239"/>
      <c r="C1471" s="239"/>
      <c r="D1471" s="239"/>
      <c r="E1471" s="239"/>
      <c r="F1471" s="239"/>
      <c r="G1471" s="239"/>
      <c r="H1471" s="239"/>
    </row>
    <row r="1472" spans="1:8" ht="18" customHeight="1">
      <c r="A1472" s="239"/>
      <c r="B1472" s="239"/>
      <c r="C1472" s="239"/>
      <c r="D1472" s="239"/>
      <c r="E1472" s="239"/>
      <c r="F1472" s="239"/>
      <c r="G1472" s="239"/>
      <c r="H1472" s="239"/>
    </row>
    <row r="1473" spans="1:8" ht="18" customHeight="1">
      <c r="A1473" s="239"/>
      <c r="B1473" s="239"/>
      <c r="C1473" s="239"/>
      <c r="D1473" s="239"/>
      <c r="E1473" s="239"/>
      <c r="F1473" s="239"/>
      <c r="G1473" s="239"/>
      <c r="H1473" s="239"/>
    </row>
    <row r="1474" spans="1:8" ht="18" customHeight="1">
      <c r="A1474" s="239"/>
      <c r="B1474" s="239"/>
      <c r="C1474" s="239"/>
      <c r="D1474" s="239"/>
      <c r="E1474" s="239"/>
      <c r="F1474" s="239"/>
      <c r="G1474" s="239"/>
      <c r="H1474" s="239"/>
    </row>
    <row r="1475" spans="1:8" ht="18" customHeight="1">
      <c r="A1475" s="239"/>
      <c r="B1475" s="239"/>
      <c r="C1475" s="239"/>
      <c r="D1475" s="239"/>
      <c r="E1475" s="239"/>
      <c r="F1475" s="239"/>
      <c r="G1475" s="239"/>
      <c r="H1475" s="239"/>
    </row>
    <row r="1476" spans="1:8" ht="18" customHeight="1">
      <c r="A1476" s="239"/>
      <c r="B1476" s="239"/>
      <c r="C1476" s="239"/>
      <c r="D1476" s="239"/>
      <c r="E1476" s="239"/>
      <c r="F1476" s="239"/>
      <c r="G1476" s="239"/>
      <c r="H1476" s="239"/>
    </row>
    <row r="1477" spans="1:8" ht="18" customHeight="1">
      <c r="A1477" s="239"/>
      <c r="B1477" s="239"/>
      <c r="C1477" s="239"/>
      <c r="D1477" s="239"/>
      <c r="E1477" s="239"/>
      <c r="F1477" s="239"/>
      <c r="G1477" s="239"/>
      <c r="H1477" s="239"/>
    </row>
    <row r="1478" spans="1:8" ht="18" customHeight="1">
      <c r="A1478" s="239"/>
      <c r="B1478" s="239"/>
      <c r="C1478" s="239"/>
      <c r="D1478" s="239"/>
      <c r="E1478" s="239"/>
      <c r="F1478" s="239"/>
      <c r="G1478" s="239"/>
      <c r="H1478" s="239"/>
    </row>
    <row r="1479" spans="1:8" ht="18" customHeight="1">
      <c r="A1479" s="239"/>
      <c r="B1479" s="239"/>
      <c r="C1479" s="239"/>
      <c r="D1479" s="239"/>
      <c r="E1479" s="239"/>
      <c r="F1479" s="239"/>
      <c r="G1479" s="239"/>
      <c r="H1479" s="239"/>
    </row>
    <row r="1480" spans="1:8" ht="18" customHeight="1">
      <c r="A1480" s="239"/>
      <c r="B1480" s="239"/>
      <c r="C1480" s="239"/>
      <c r="D1480" s="239"/>
      <c r="E1480" s="239"/>
      <c r="F1480" s="239"/>
      <c r="G1480" s="239"/>
      <c r="H1480" s="239"/>
    </row>
    <row r="1481" spans="1:8" ht="18" customHeight="1">
      <c r="A1481" s="239"/>
      <c r="B1481" s="239"/>
      <c r="C1481" s="239"/>
      <c r="D1481" s="239"/>
      <c r="E1481" s="239"/>
      <c r="F1481" s="239"/>
      <c r="G1481" s="239"/>
      <c r="H1481" s="239"/>
    </row>
    <row r="1482" spans="1:8" ht="18" customHeight="1">
      <c r="A1482" s="239"/>
      <c r="B1482" s="239"/>
      <c r="C1482" s="239"/>
      <c r="D1482" s="239"/>
      <c r="E1482" s="239"/>
      <c r="F1482" s="239"/>
      <c r="G1482" s="239"/>
      <c r="H1482" s="239"/>
    </row>
    <row r="1483" spans="1:8" ht="18" customHeight="1">
      <c r="A1483" s="239"/>
      <c r="B1483" s="239"/>
      <c r="C1483" s="239"/>
      <c r="D1483" s="239"/>
      <c r="E1483" s="239"/>
      <c r="F1483" s="239"/>
      <c r="G1483" s="239"/>
      <c r="H1483" s="239"/>
    </row>
    <row r="1484" spans="1:8" ht="18" customHeight="1">
      <c r="A1484" s="239"/>
      <c r="B1484" s="239"/>
      <c r="C1484" s="239"/>
      <c r="D1484" s="239"/>
      <c r="E1484" s="239"/>
      <c r="F1484" s="239"/>
      <c r="G1484" s="239"/>
      <c r="H1484" s="239"/>
    </row>
    <row r="1485" spans="1:8" ht="18" customHeight="1">
      <c r="A1485" s="239"/>
      <c r="B1485" s="239"/>
      <c r="C1485" s="239"/>
      <c r="D1485" s="239"/>
      <c r="E1485" s="239"/>
      <c r="F1485" s="239"/>
      <c r="G1485" s="239"/>
      <c r="H1485" s="239"/>
    </row>
    <row r="1486" spans="1:8" ht="18" customHeight="1">
      <c r="A1486" s="239"/>
      <c r="B1486" s="239"/>
      <c r="C1486" s="239"/>
      <c r="D1486" s="239"/>
      <c r="E1486" s="239"/>
      <c r="F1486" s="239"/>
      <c r="G1486" s="239"/>
      <c r="H1486" s="239"/>
    </row>
    <row r="1487" spans="1:8" ht="18" customHeight="1">
      <c r="A1487" s="239"/>
      <c r="B1487" s="239"/>
      <c r="C1487" s="239"/>
      <c r="D1487" s="239"/>
      <c r="E1487" s="239"/>
      <c r="F1487" s="239"/>
      <c r="G1487" s="239"/>
      <c r="H1487" s="239"/>
    </row>
    <row r="1488" spans="1:8" ht="18" customHeight="1">
      <c r="A1488" s="239"/>
      <c r="B1488" s="239"/>
      <c r="C1488" s="239"/>
      <c r="D1488" s="239"/>
      <c r="E1488" s="239"/>
      <c r="F1488" s="239"/>
      <c r="G1488" s="239"/>
      <c r="H1488" s="239"/>
    </row>
    <row r="1489" spans="1:8" ht="18" customHeight="1">
      <c r="A1489" s="239"/>
      <c r="B1489" s="239"/>
      <c r="C1489" s="239"/>
      <c r="D1489" s="239"/>
      <c r="E1489" s="239"/>
      <c r="F1489" s="239"/>
      <c r="G1489" s="239"/>
      <c r="H1489" s="239"/>
    </row>
    <row r="1490" spans="1:8" ht="18" customHeight="1">
      <c r="A1490" s="239"/>
      <c r="B1490" s="239"/>
      <c r="C1490" s="239"/>
      <c r="D1490" s="239"/>
      <c r="E1490" s="239"/>
      <c r="F1490" s="239"/>
      <c r="G1490" s="239"/>
      <c r="H1490" s="239"/>
    </row>
    <row r="1491" spans="1:8" ht="18" customHeight="1">
      <c r="A1491" s="239"/>
      <c r="B1491" s="239"/>
      <c r="C1491" s="239"/>
      <c r="D1491" s="239"/>
      <c r="E1491" s="239"/>
      <c r="F1491" s="239"/>
      <c r="G1491" s="239"/>
      <c r="H1491" s="239"/>
    </row>
    <row r="1492" spans="1:8" ht="18" customHeight="1">
      <c r="A1492" s="239"/>
      <c r="B1492" s="239"/>
      <c r="C1492" s="239"/>
      <c r="D1492" s="239"/>
      <c r="E1492" s="239"/>
      <c r="F1492" s="239"/>
      <c r="G1492" s="239"/>
      <c r="H1492" s="239"/>
    </row>
    <row r="1493" spans="1:8" ht="18" customHeight="1">
      <c r="A1493" s="239"/>
      <c r="B1493" s="239"/>
      <c r="C1493" s="239"/>
      <c r="D1493" s="239"/>
      <c r="E1493" s="239"/>
      <c r="F1493" s="239"/>
      <c r="G1493" s="239"/>
      <c r="H1493" s="239"/>
    </row>
    <row r="1494" spans="1:8" ht="18" customHeight="1">
      <c r="A1494" s="239"/>
      <c r="B1494" s="239"/>
      <c r="C1494" s="239"/>
      <c r="D1494" s="239"/>
      <c r="E1494" s="239"/>
      <c r="F1494" s="239"/>
      <c r="G1494" s="239"/>
      <c r="H1494" s="239"/>
    </row>
    <row r="1495" spans="1:8" ht="18" customHeight="1">
      <c r="A1495" s="239"/>
      <c r="B1495" s="239"/>
      <c r="C1495" s="239"/>
      <c r="D1495" s="239"/>
      <c r="E1495" s="239"/>
      <c r="F1495" s="239"/>
      <c r="G1495" s="239"/>
      <c r="H1495" s="239"/>
    </row>
    <row r="1496" spans="1:8" ht="18" customHeight="1">
      <c r="A1496" s="239"/>
      <c r="B1496" s="239"/>
      <c r="C1496" s="239"/>
      <c r="D1496" s="239"/>
      <c r="E1496" s="239"/>
      <c r="F1496" s="239"/>
      <c r="G1496" s="239"/>
      <c r="H1496" s="239"/>
    </row>
    <row r="1497" spans="1:8" ht="18" customHeight="1">
      <c r="A1497" s="239"/>
      <c r="B1497" s="239"/>
      <c r="C1497" s="239"/>
      <c r="D1497" s="239"/>
      <c r="E1497" s="239"/>
      <c r="F1497" s="239"/>
      <c r="G1497" s="239"/>
      <c r="H1497" s="239"/>
    </row>
    <row r="1498" spans="1:8" ht="18" customHeight="1">
      <c r="A1498" s="239"/>
      <c r="B1498" s="239"/>
      <c r="C1498" s="239"/>
      <c r="D1498" s="239"/>
      <c r="E1498" s="239"/>
      <c r="F1498" s="239"/>
      <c r="G1498" s="239"/>
      <c r="H1498" s="239"/>
    </row>
    <row r="1499" spans="1:8" ht="18" customHeight="1">
      <c r="A1499" s="239"/>
      <c r="B1499" s="239"/>
      <c r="C1499" s="239"/>
      <c r="D1499" s="239"/>
      <c r="E1499" s="239"/>
      <c r="F1499" s="239"/>
      <c r="G1499" s="239"/>
      <c r="H1499" s="239"/>
    </row>
    <row r="1500" spans="1:8" ht="18" customHeight="1">
      <c r="A1500" s="239"/>
      <c r="B1500" s="239"/>
      <c r="C1500" s="239"/>
      <c r="D1500" s="239"/>
      <c r="E1500" s="239"/>
      <c r="F1500" s="239"/>
      <c r="G1500" s="239"/>
      <c r="H1500" s="239"/>
    </row>
    <row r="1501" spans="1:8" ht="18" customHeight="1">
      <c r="A1501" s="239"/>
      <c r="B1501" s="239"/>
      <c r="C1501" s="239"/>
      <c r="D1501" s="239"/>
      <c r="E1501" s="239"/>
      <c r="F1501" s="239"/>
      <c r="G1501" s="239"/>
      <c r="H1501" s="239"/>
    </row>
    <row r="1502" spans="1:8" ht="18" customHeight="1">
      <c r="A1502" s="239"/>
      <c r="B1502" s="239"/>
      <c r="C1502" s="239"/>
      <c r="D1502" s="239"/>
      <c r="E1502" s="239"/>
      <c r="F1502" s="239"/>
      <c r="G1502" s="239"/>
      <c r="H1502" s="239"/>
    </row>
    <row r="1503" spans="1:8" ht="18" customHeight="1">
      <c r="A1503" s="239"/>
      <c r="B1503" s="239"/>
      <c r="C1503" s="239"/>
      <c r="D1503" s="239"/>
      <c r="E1503" s="239"/>
      <c r="F1503" s="239"/>
      <c r="G1503" s="239"/>
      <c r="H1503" s="239"/>
    </row>
    <row r="1504" spans="1:8" ht="18" customHeight="1">
      <c r="A1504" s="239"/>
      <c r="B1504" s="239"/>
      <c r="C1504" s="239"/>
      <c r="D1504" s="239"/>
      <c r="E1504" s="239"/>
      <c r="F1504" s="239"/>
      <c r="G1504" s="239"/>
      <c r="H1504" s="239"/>
    </row>
    <row r="1505" spans="1:8" ht="18" customHeight="1">
      <c r="A1505" s="239"/>
      <c r="B1505" s="239"/>
      <c r="C1505" s="239"/>
      <c r="D1505" s="239"/>
      <c r="E1505" s="239"/>
      <c r="F1505" s="239"/>
      <c r="G1505" s="239"/>
      <c r="H1505" s="239"/>
    </row>
    <row r="1506" spans="1:8" ht="18" customHeight="1">
      <c r="A1506" s="239"/>
      <c r="B1506" s="239"/>
      <c r="C1506" s="239"/>
      <c r="D1506" s="239"/>
      <c r="E1506" s="239"/>
      <c r="F1506" s="239"/>
      <c r="G1506" s="239"/>
      <c r="H1506" s="239"/>
    </row>
    <row r="1507" spans="1:8" ht="18" customHeight="1">
      <c r="A1507" s="239"/>
      <c r="B1507" s="239"/>
      <c r="C1507" s="239"/>
      <c r="D1507" s="239"/>
      <c r="E1507" s="239"/>
      <c r="F1507" s="239"/>
      <c r="G1507" s="239"/>
      <c r="H1507" s="239"/>
    </row>
    <row r="1508" spans="1:8" ht="18" customHeight="1">
      <c r="A1508" s="239"/>
      <c r="B1508" s="239"/>
      <c r="C1508" s="239"/>
      <c r="D1508" s="239"/>
      <c r="E1508" s="239"/>
      <c r="F1508" s="239"/>
      <c r="G1508" s="239"/>
      <c r="H1508" s="239"/>
    </row>
    <row r="1509" spans="1:8" ht="18" customHeight="1">
      <c r="A1509" s="239"/>
      <c r="B1509" s="239"/>
      <c r="C1509" s="239"/>
      <c r="D1509" s="239"/>
      <c r="E1509" s="239"/>
      <c r="F1509" s="239"/>
      <c r="G1509" s="239"/>
      <c r="H1509" s="239"/>
    </row>
    <row r="1510" spans="1:8" ht="18" customHeight="1">
      <c r="A1510" s="239"/>
      <c r="B1510" s="239"/>
      <c r="C1510" s="239"/>
      <c r="D1510" s="239"/>
      <c r="E1510" s="239"/>
      <c r="F1510" s="239"/>
      <c r="G1510" s="239"/>
      <c r="H1510" s="239"/>
    </row>
    <row r="1511" spans="1:8" ht="18" customHeight="1">
      <c r="A1511" s="239"/>
      <c r="B1511" s="239"/>
      <c r="C1511" s="239"/>
      <c r="D1511" s="239"/>
      <c r="E1511" s="239"/>
      <c r="F1511" s="239"/>
      <c r="G1511" s="239"/>
      <c r="H1511" s="239"/>
    </row>
    <row r="1512" spans="1:8" ht="18" customHeight="1">
      <c r="A1512" s="239"/>
      <c r="B1512" s="239"/>
      <c r="C1512" s="239"/>
      <c r="D1512" s="239"/>
      <c r="E1512" s="239"/>
      <c r="F1512" s="239"/>
      <c r="G1512" s="239"/>
      <c r="H1512" s="239"/>
    </row>
    <row r="1513" spans="1:8" ht="18" customHeight="1">
      <c r="A1513" s="239"/>
      <c r="B1513" s="239"/>
      <c r="C1513" s="239"/>
      <c r="D1513" s="239"/>
      <c r="E1513" s="239"/>
      <c r="F1513" s="239"/>
      <c r="G1513" s="239"/>
      <c r="H1513" s="239"/>
    </row>
    <row r="1514" spans="1:8" ht="18" customHeight="1">
      <c r="A1514" s="239"/>
      <c r="B1514" s="239"/>
      <c r="C1514" s="239"/>
      <c r="D1514" s="239"/>
      <c r="E1514" s="239"/>
      <c r="F1514" s="239"/>
      <c r="G1514" s="239"/>
      <c r="H1514" s="239"/>
    </row>
    <row r="1515" spans="1:8" ht="18" customHeight="1">
      <c r="A1515" s="239"/>
      <c r="B1515" s="239"/>
      <c r="C1515" s="239"/>
      <c r="D1515" s="239"/>
      <c r="E1515" s="239"/>
      <c r="F1515" s="239"/>
      <c r="G1515" s="239"/>
      <c r="H1515" s="239"/>
    </row>
    <row r="1516" spans="1:8" ht="18" customHeight="1">
      <c r="A1516" s="239"/>
      <c r="B1516" s="239"/>
      <c r="C1516" s="239"/>
      <c r="D1516" s="239"/>
      <c r="E1516" s="239"/>
      <c r="F1516" s="239"/>
      <c r="G1516" s="239"/>
      <c r="H1516" s="239"/>
    </row>
    <row r="1517" spans="1:8" ht="18" customHeight="1">
      <c r="A1517" s="239"/>
      <c r="B1517" s="239"/>
      <c r="C1517" s="239"/>
      <c r="D1517" s="239"/>
      <c r="E1517" s="239"/>
      <c r="F1517" s="239"/>
      <c r="G1517" s="239"/>
      <c r="H1517" s="239"/>
    </row>
    <row r="1518" spans="1:8" ht="18" customHeight="1">
      <c r="A1518" s="239"/>
      <c r="B1518" s="239"/>
      <c r="C1518" s="239"/>
      <c r="D1518" s="239"/>
      <c r="E1518" s="239"/>
      <c r="F1518" s="239"/>
      <c r="G1518" s="239"/>
      <c r="H1518" s="239"/>
    </row>
    <row r="1519" spans="1:8" ht="18" customHeight="1">
      <c r="A1519" s="239"/>
      <c r="B1519" s="239"/>
      <c r="C1519" s="239"/>
      <c r="D1519" s="239"/>
      <c r="E1519" s="239"/>
      <c r="F1519" s="239"/>
      <c r="G1519" s="239"/>
      <c r="H1519" s="239"/>
    </row>
    <row r="1520" spans="1:8" ht="18" customHeight="1">
      <c r="A1520" s="239"/>
      <c r="B1520" s="239"/>
      <c r="C1520" s="239"/>
      <c r="D1520" s="239"/>
      <c r="E1520" s="239"/>
      <c r="F1520" s="239"/>
      <c r="G1520" s="239"/>
      <c r="H1520" s="239"/>
    </row>
    <row r="1521" spans="1:8" ht="18" customHeight="1">
      <c r="A1521" s="239"/>
      <c r="B1521" s="239"/>
      <c r="C1521" s="239"/>
      <c r="D1521" s="239"/>
      <c r="E1521" s="239"/>
      <c r="F1521" s="239"/>
      <c r="G1521" s="239"/>
      <c r="H1521" s="239"/>
    </row>
    <row r="1522" spans="1:8" ht="18" customHeight="1">
      <c r="A1522" s="239"/>
      <c r="B1522" s="239"/>
      <c r="C1522" s="239"/>
      <c r="D1522" s="239"/>
      <c r="E1522" s="239"/>
      <c r="F1522" s="239"/>
      <c r="G1522" s="239"/>
      <c r="H1522" s="239"/>
    </row>
    <row r="1523" spans="1:8" ht="18" customHeight="1">
      <c r="A1523" s="239"/>
      <c r="B1523" s="239"/>
      <c r="C1523" s="239"/>
      <c r="D1523" s="239"/>
      <c r="E1523" s="239"/>
      <c r="F1523" s="239"/>
      <c r="G1523" s="239"/>
      <c r="H1523" s="239"/>
    </row>
    <row r="1524" spans="1:8" ht="18" customHeight="1">
      <c r="A1524" s="239"/>
      <c r="B1524" s="239"/>
      <c r="C1524" s="239"/>
      <c r="D1524" s="239"/>
      <c r="E1524" s="239"/>
      <c r="F1524" s="239"/>
      <c r="G1524" s="239"/>
      <c r="H1524" s="239"/>
    </row>
    <row r="1525" spans="1:8" ht="18" customHeight="1">
      <c r="A1525" s="239"/>
      <c r="B1525" s="239"/>
      <c r="C1525" s="239"/>
      <c r="D1525" s="239"/>
      <c r="E1525" s="239"/>
      <c r="F1525" s="239"/>
      <c r="G1525" s="239"/>
      <c r="H1525" s="239"/>
    </row>
    <row r="1526" spans="1:8" ht="18" customHeight="1">
      <c r="A1526" s="239"/>
      <c r="B1526" s="239"/>
      <c r="C1526" s="239"/>
      <c r="D1526" s="239"/>
      <c r="E1526" s="239"/>
      <c r="F1526" s="239"/>
      <c r="G1526" s="239"/>
      <c r="H1526" s="239"/>
    </row>
    <row r="1527" spans="1:8" ht="18" customHeight="1">
      <c r="A1527" s="239"/>
      <c r="B1527" s="239"/>
      <c r="C1527" s="239"/>
      <c r="D1527" s="239"/>
      <c r="E1527" s="239"/>
      <c r="F1527" s="239"/>
      <c r="G1527" s="239"/>
      <c r="H1527" s="239"/>
    </row>
    <row r="1528" spans="1:8" ht="18" customHeight="1">
      <c r="A1528" s="239"/>
      <c r="B1528" s="239"/>
      <c r="C1528" s="239"/>
      <c r="D1528" s="239"/>
      <c r="E1528" s="239"/>
      <c r="F1528" s="239"/>
      <c r="G1528" s="239"/>
      <c r="H1528" s="239"/>
    </row>
    <row r="1529" spans="1:8" ht="18" customHeight="1">
      <c r="A1529" s="239"/>
      <c r="B1529" s="239"/>
      <c r="C1529" s="239"/>
      <c r="D1529" s="239"/>
      <c r="E1529" s="239"/>
      <c r="F1529" s="239"/>
      <c r="G1529" s="239"/>
      <c r="H1529" s="239"/>
    </row>
    <row r="1530" spans="1:8" ht="18" customHeight="1">
      <c r="A1530" s="239"/>
      <c r="B1530" s="239"/>
      <c r="C1530" s="239"/>
      <c r="D1530" s="239"/>
      <c r="E1530" s="239"/>
      <c r="F1530" s="239"/>
      <c r="G1530" s="239"/>
      <c r="H1530" s="239"/>
    </row>
    <row r="1531" spans="1:8" ht="18" customHeight="1">
      <c r="A1531" s="239"/>
      <c r="B1531" s="239"/>
      <c r="C1531" s="239"/>
      <c r="D1531" s="239"/>
      <c r="E1531" s="239"/>
      <c r="F1531" s="239"/>
      <c r="G1531" s="239"/>
      <c r="H1531" s="239"/>
    </row>
    <row r="1532" spans="1:8" ht="18" customHeight="1">
      <c r="A1532" s="239"/>
      <c r="B1532" s="239"/>
      <c r="C1532" s="239"/>
      <c r="D1532" s="239"/>
      <c r="E1532" s="239"/>
      <c r="F1532" s="239"/>
      <c r="G1532" s="239"/>
      <c r="H1532" s="239"/>
    </row>
    <row r="1533" spans="1:8" ht="18" customHeight="1">
      <c r="A1533" s="239"/>
      <c r="B1533" s="239"/>
      <c r="C1533" s="239"/>
      <c r="D1533" s="239"/>
      <c r="E1533" s="239"/>
      <c r="F1533" s="239"/>
      <c r="G1533" s="239"/>
      <c r="H1533" s="239"/>
    </row>
    <row r="1534" spans="1:8" ht="18" customHeight="1">
      <c r="A1534" s="239"/>
      <c r="B1534" s="239"/>
      <c r="C1534" s="239"/>
      <c r="D1534" s="239"/>
      <c r="E1534" s="239"/>
      <c r="F1534" s="239"/>
      <c r="G1534" s="239"/>
      <c r="H1534" s="239"/>
    </row>
    <row r="1535" spans="1:8" ht="18" customHeight="1">
      <c r="A1535" s="239"/>
      <c r="B1535" s="239"/>
      <c r="C1535" s="239"/>
      <c r="D1535" s="239"/>
      <c r="E1535" s="239"/>
      <c r="F1535" s="239"/>
      <c r="G1535" s="239"/>
      <c r="H1535" s="239"/>
    </row>
    <row r="1536" spans="1:8" ht="18" customHeight="1">
      <c r="A1536" s="239"/>
      <c r="B1536" s="239"/>
      <c r="C1536" s="239"/>
      <c r="D1536" s="239"/>
      <c r="E1536" s="239"/>
      <c r="F1536" s="239"/>
      <c r="G1536" s="239"/>
      <c r="H1536" s="239"/>
    </row>
    <row r="1537" spans="1:8" ht="18" customHeight="1">
      <c r="A1537" s="239"/>
      <c r="B1537" s="239"/>
      <c r="C1537" s="239"/>
      <c r="D1537" s="239"/>
      <c r="E1537" s="239"/>
      <c r="F1537" s="239"/>
      <c r="G1537" s="239"/>
      <c r="H1537" s="239"/>
    </row>
    <row r="1538" spans="1:8" ht="18" customHeight="1">
      <c r="A1538" s="239"/>
      <c r="B1538" s="239"/>
      <c r="C1538" s="239"/>
      <c r="D1538" s="239"/>
      <c r="E1538" s="239"/>
      <c r="F1538" s="239"/>
      <c r="G1538" s="239"/>
      <c r="H1538" s="239"/>
    </row>
    <row r="1539" spans="1:8" ht="18" customHeight="1">
      <c r="A1539" s="239"/>
      <c r="B1539" s="239"/>
      <c r="C1539" s="239"/>
      <c r="D1539" s="239"/>
      <c r="E1539" s="239"/>
      <c r="F1539" s="239"/>
      <c r="G1539" s="239"/>
      <c r="H1539" s="239"/>
    </row>
    <row r="1540" spans="1:8" ht="18" customHeight="1">
      <c r="A1540" s="239"/>
      <c r="B1540" s="239"/>
      <c r="C1540" s="239"/>
      <c r="D1540" s="239"/>
      <c r="E1540" s="239"/>
      <c r="F1540" s="239"/>
      <c r="G1540" s="239"/>
      <c r="H1540" s="239"/>
    </row>
    <row r="1541" spans="1:8" ht="18" customHeight="1">
      <c r="A1541" s="239"/>
      <c r="B1541" s="239"/>
      <c r="C1541" s="239"/>
      <c r="D1541" s="239"/>
      <c r="E1541" s="239"/>
      <c r="F1541" s="239"/>
      <c r="G1541" s="239"/>
      <c r="H1541" s="239"/>
    </row>
    <row r="1542" spans="1:8" ht="18" customHeight="1">
      <c r="A1542" s="239"/>
      <c r="B1542" s="239"/>
      <c r="C1542" s="239"/>
      <c r="D1542" s="239"/>
      <c r="E1542" s="239"/>
      <c r="F1542" s="239"/>
      <c r="G1542" s="239"/>
      <c r="H1542" s="239"/>
    </row>
    <row r="1543" spans="1:8" ht="18" customHeight="1">
      <c r="A1543" s="239"/>
      <c r="B1543" s="239"/>
      <c r="C1543" s="239"/>
      <c r="D1543" s="239"/>
      <c r="E1543" s="239"/>
      <c r="F1543" s="239"/>
      <c r="G1543" s="239"/>
      <c r="H1543" s="239"/>
    </row>
    <row r="1544" spans="1:8" ht="18" customHeight="1">
      <c r="A1544" s="239"/>
      <c r="B1544" s="239"/>
      <c r="C1544" s="239"/>
      <c r="D1544" s="239"/>
      <c r="E1544" s="239"/>
      <c r="F1544" s="239"/>
      <c r="G1544" s="239"/>
      <c r="H1544" s="239"/>
    </row>
    <row r="1545" spans="1:8" ht="18" customHeight="1">
      <c r="A1545" s="239"/>
      <c r="B1545" s="239"/>
      <c r="C1545" s="239"/>
      <c r="D1545" s="239"/>
      <c r="E1545" s="239"/>
      <c r="F1545" s="239"/>
      <c r="G1545" s="239"/>
      <c r="H1545" s="239"/>
    </row>
    <row r="1546" spans="1:8" ht="18" customHeight="1">
      <c r="A1546" s="239"/>
      <c r="B1546" s="239"/>
      <c r="C1546" s="239"/>
      <c r="D1546" s="239"/>
      <c r="E1546" s="239"/>
      <c r="F1546" s="239"/>
      <c r="G1546" s="239"/>
      <c r="H1546" s="239"/>
    </row>
    <row r="1547" spans="1:8" ht="18" customHeight="1">
      <c r="A1547" s="239"/>
      <c r="B1547" s="239"/>
      <c r="C1547" s="239"/>
      <c r="D1547" s="239"/>
      <c r="E1547" s="239"/>
      <c r="F1547" s="239"/>
      <c r="G1547" s="239"/>
      <c r="H1547" s="239"/>
    </row>
    <row r="1548" spans="1:8" ht="18" customHeight="1">
      <c r="A1548" s="239"/>
      <c r="B1548" s="239"/>
      <c r="C1548" s="239"/>
      <c r="D1548" s="239"/>
      <c r="E1548" s="239"/>
      <c r="F1548" s="239"/>
      <c r="G1548" s="239"/>
      <c r="H1548" s="239"/>
    </row>
    <row r="1549" spans="1:8" ht="18" customHeight="1">
      <c r="A1549" s="239"/>
      <c r="B1549" s="239"/>
      <c r="C1549" s="239"/>
      <c r="D1549" s="239"/>
      <c r="E1549" s="239"/>
      <c r="F1549" s="239"/>
      <c r="G1549" s="239"/>
      <c r="H1549" s="239"/>
    </row>
    <row r="1550" spans="1:8" ht="18" customHeight="1">
      <c r="A1550" s="239"/>
      <c r="B1550" s="239"/>
      <c r="C1550" s="239"/>
      <c r="D1550" s="239"/>
      <c r="E1550" s="239"/>
      <c r="F1550" s="239"/>
      <c r="G1550" s="239"/>
      <c r="H1550" s="239"/>
    </row>
    <row r="1551" spans="1:8" ht="18" customHeight="1">
      <c r="A1551" s="239"/>
      <c r="B1551" s="239"/>
      <c r="C1551" s="239"/>
      <c r="D1551" s="239"/>
      <c r="E1551" s="239"/>
      <c r="F1551" s="239"/>
      <c r="G1551" s="239"/>
      <c r="H1551" s="239"/>
    </row>
    <row r="1552" spans="1:8" ht="18" customHeight="1">
      <c r="A1552" s="239"/>
      <c r="B1552" s="239"/>
      <c r="C1552" s="239"/>
      <c r="D1552" s="239"/>
      <c r="E1552" s="239"/>
      <c r="F1552" s="239"/>
      <c r="G1552" s="239"/>
      <c r="H1552" s="239"/>
    </row>
    <row r="1553" spans="1:8" ht="18" customHeight="1">
      <c r="A1553" s="239"/>
      <c r="B1553" s="239"/>
      <c r="C1553" s="239"/>
      <c r="D1553" s="239"/>
      <c r="E1553" s="239"/>
      <c r="F1553" s="239"/>
      <c r="G1553" s="239"/>
      <c r="H1553" s="239"/>
    </row>
    <row r="1554" spans="1:8" ht="18" customHeight="1">
      <c r="A1554" s="239"/>
      <c r="B1554" s="239"/>
      <c r="C1554" s="239"/>
      <c r="D1554" s="239"/>
      <c r="E1554" s="239"/>
      <c r="F1554" s="239"/>
      <c r="G1554" s="239"/>
      <c r="H1554" s="239"/>
    </row>
    <row r="1555" spans="1:8" ht="18" customHeight="1">
      <c r="A1555" s="239"/>
      <c r="B1555" s="239"/>
      <c r="C1555" s="239"/>
      <c r="D1555" s="239"/>
      <c r="E1555" s="239"/>
      <c r="F1555" s="239"/>
      <c r="G1555" s="239"/>
      <c r="H1555" s="239"/>
    </row>
    <row r="1556" spans="1:8" ht="18" customHeight="1">
      <c r="A1556" s="239"/>
      <c r="B1556" s="239"/>
      <c r="C1556" s="239"/>
      <c r="D1556" s="239"/>
      <c r="E1556" s="239"/>
      <c r="F1556" s="239"/>
      <c r="G1556" s="239"/>
      <c r="H1556" s="239"/>
    </row>
    <row r="1557" spans="1:8" ht="18" customHeight="1">
      <c r="A1557" s="239"/>
      <c r="B1557" s="239"/>
      <c r="C1557" s="239"/>
      <c r="D1557" s="239"/>
      <c r="E1557" s="239"/>
      <c r="F1557" s="239"/>
      <c r="G1557" s="239"/>
      <c r="H1557" s="239"/>
    </row>
    <row r="1558" spans="1:8" ht="18" customHeight="1">
      <c r="A1558" s="239"/>
      <c r="B1558" s="239"/>
      <c r="C1558" s="239"/>
      <c r="D1558" s="239"/>
      <c r="E1558" s="239"/>
      <c r="F1558" s="239"/>
      <c r="G1558" s="239"/>
      <c r="H1558" s="239"/>
    </row>
    <row r="1559" spans="1:8" ht="18" customHeight="1">
      <c r="A1559" s="239"/>
      <c r="B1559" s="239"/>
      <c r="C1559" s="239"/>
      <c r="D1559" s="239"/>
      <c r="E1559" s="239"/>
      <c r="F1559" s="239"/>
      <c r="G1559" s="239"/>
      <c r="H1559" s="239"/>
    </row>
    <row r="1560" spans="1:8" ht="18" customHeight="1">
      <c r="A1560" s="239"/>
      <c r="B1560" s="239"/>
      <c r="C1560" s="239"/>
      <c r="D1560" s="239"/>
      <c r="E1560" s="239"/>
      <c r="F1560" s="239"/>
      <c r="G1560" s="239"/>
      <c r="H1560" s="239"/>
    </row>
    <row r="1561" spans="1:8" ht="18" customHeight="1">
      <c r="A1561" s="239"/>
      <c r="B1561" s="239"/>
      <c r="C1561" s="239"/>
      <c r="D1561" s="239"/>
      <c r="E1561" s="239"/>
      <c r="F1561" s="239"/>
      <c r="G1561" s="239"/>
      <c r="H1561" s="239"/>
    </row>
    <row r="1562" spans="1:8" ht="18" customHeight="1">
      <c r="A1562" s="239"/>
      <c r="B1562" s="239"/>
      <c r="C1562" s="239"/>
      <c r="D1562" s="239"/>
      <c r="E1562" s="239"/>
      <c r="F1562" s="239"/>
      <c r="G1562" s="239"/>
      <c r="H1562" s="239"/>
    </row>
    <row r="1563" spans="1:8" ht="18" customHeight="1">
      <c r="A1563" s="239"/>
      <c r="B1563" s="239"/>
      <c r="C1563" s="239"/>
      <c r="D1563" s="239"/>
      <c r="E1563" s="239"/>
      <c r="F1563" s="239"/>
      <c r="G1563" s="239"/>
      <c r="H1563" s="239"/>
    </row>
    <row r="1564" spans="1:8" ht="18" customHeight="1">
      <c r="A1564" s="239"/>
      <c r="B1564" s="239"/>
      <c r="C1564" s="239"/>
      <c r="D1564" s="239"/>
      <c r="E1564" s="239"/>
      <c r="F1564" s="239"/>
      <c r="G1564" s="239"/>
      <c r="H1564" s="239"/>
    </row>
    <row r="1565" spans="1:8" ht="18" customHeight="1">
      <c r="A1565" s="239"/>
      <c r="B1565" s="239"/>
      <c r="C1565" s="239"/>
      <c r="D1565" s="239"/>
      <c r="E1565" s="239"/>
      <c r="F1565" s="239"/>
      <c r="G1565" s="239"/>
      <c r="H1565" s="239"/>
    </row>
    <row r="1566" spans="1:8" ht="18" customHeight="1">
      <c r="A1566" s="239"/>
      <c r="B1566" s="239"/>
      <c r="C1566" s="239"/>
      <c r="D1566" s="239"/>
      <c r="E1566" s="239"/>
      <c r="F1566" s="239"/>
      <c r="G1566" s="239"/>
      <c r="H1566" s="239"/>
    </row>
    <row r="1567" spans="1:8" ht="18" customHeight="1">
      <c r="A1567" s="239"/>
      <c r="B1567" s="239"/>
      <c r="C1567" s="239"/>
      <c r="D1567" s="239"/>
      <c r="E1567" s="239"/>
      <c r="F1567" s="239"/>
      <c r="G1567" s="239"/>
      <c r="H1567" s="239"/>
    </row>
    <row r="1568" spans="1:8" ht="18" customHeight="1">
      <c r="A1568" s="239"/>
      <c r="B1568" s="239"/>
      <c r="C1568" s="239"/>
      <c r="D1568" s="239"/>
      <c r="E1568" s="239"/>
      <c r="F1568" s="239"/>
      <c r="G1568" s="239"/>
      <c r="H1568" s="239"/>
    </row>
    <row r="1569" spans="1:8" ht="18" customHeight="1">
      <c r="A1569" s="239"/>
      <c r="B1569" s="239"/>
      <c r="C1569" s="239"/>
      <c r="D1569" s="239"/>
      <c r="E1569" s="239"/>
      <c r="F1569" s="239"/>
      <c r="G1569" s="239"/>
      <c r="H1569" s="239"/>
    </row>
    <row r="1570" spans="1:8" ht="18" customHeight="1">
      <c r="A1570" s="239"/>
      <c r="B1570" s="239"/>
      <c r="C1570" s="239"/>
      <c r="D1570" s="239"/>
      <c r="E1570" s="239"/>
      <c r="F1570" s="239"/>
      <c r="G1570" s="239"/>
      <c r="H1570" s="239"/>
    </row>
    <row r="1571" spans="1:8" ht="18" customHeight="1">
      <c r="A1571" s="239"/>
      <c r="B1571" s="239"/>
      <c r="C1571" s="239"/>
      <c r="D1571" s="239"/>
      <c r="E1571" s="239"/>
      <c r="F1571" s="239"/>
      <c r="G1571" s="239"/>
      <c r="H1571" s="239"/>
    </row>
    <row r="1572" spans="1:8" ht="18" customHeight="1">
      <c r="A1572" s="239"/>
      <c r="B1572" s="239"/>
      <c r="C1572" s="239"/>
      <c r="D1572" s="239"/>
      <c r="E1572" s="239"/>
      <c r="F1572" s="239"/>
      <c r="G1572" s="239"/>
      <c r="H1572" s="239"/>
    </row>
    <row r="1573" spans="1:8" ht="18" customHeight="1">
      <c r="A1573" s="239"/>
      <c r="B1573" s="239"/>
      <c r="C1573" s="239"/>
      <c r="D1573" s="239"/>
      <c r="E1573" s="239"/>
      <c r="F1573" s="239"/>
      <c r="G1573" s="239"/>
      <c r="H1573" s="239"/>
    </row>
    <row r="1574" spans="1:8" ht="18" customHeight="1">
      <c r="A1574" s="239"/>
      <c r="B1574" s="239"/>
      <c r="C1574" s="239"/>
      <c r="D1574" s="239"/>
      <c r="E1574" s="239"/>
      <c r="F1574" s="239"/>
      <c r="G1574" s="239"/>
      <c r="H1574" s="239"/>
    </row>
    <row r="1575" spans="1:8" ht="18" customHeight="1">
      <c r="A1575" s="239"/>
      <c r="B1575" s="239"/>
      <c r="C1575" s="239"/>
      <c r="D1575" s="239"/>
      <c r="E1575" s="239"/>
      <c r="F1575" s="239"/>
      <c r="G1575" s="239"/>
      <c r="H1575" s="239"/>
    </row>
    <row r="1576" spans="1:8" ht="18" customHeight="1">
      <c r="A1576" s="239"/>
      <c r="B1576" s="239"/>
      <c r="C1576" s="239"/>
      <c r="D1576" s="239"/>
      <c r="E1576" s="239"/>
      <c r="F1576" s="239"/>
      <c r="G1576" s="239"/>
      <c r="H1576" s="239"/>
    </row>
    <row r="1577" spans="1:8" ht="18" customHeight="1">
      <c r="A1577" s="239"/>
      <c r="B1577" s="239"/>
      <c r="C1577" s="239"/>
      <c r="D1577" s="239"/>
      <c r="E1577" s="239"/>
      <c r="F1577" s="239"/>
      <c r="G1577" s="239"/>
      <c r="H1577" s="239"/>
    </row>
    <row r="1578" spans="1:8" ht="18" customHeight="1">
      <c r="A1578" s="239"/>
      <c r="B1578" s="239"/>
      <c r="C1578" s="239"/>
      <c r="D1578" s="239"/>
      <c r="E1578" s="239"/>
      <c r="F1578" s="239"/>
      <c r="G1578" s="239"/>
      <c r="H1578" s="239"/>
    </row>
    <row r="1579" spans="1:8" ht="18" customHeight="1">
      <c r="A1579" s="239"/>
      <c r="B1579" s="239"/>
      <c r="C1579" s="239"/>
      <c r="D1579" s="239"/>
      <c r="E1579" s="239"/>
      <c r="F1579" s="239"/>
      <c r="G1579" s="239"/>
      <c r="H1579" s="239"/>
    </row>
    <row r="1580" spans="1:8" ht="18" customHeight="1">
      <c r="A1580" s="239"/>
      <c r="B1580" s="239"/>
      <c r="C1580" s="239"/>
      <c r="D1580" s="239"/>
      <c r="E1580" s="239"/>
      <c r="F1580" s="239"/>
      <c r="G1580" s="239"/>
      <c r="H1580" s="239"/>
    </row>
    <row r="1581" spans="1:8" ht="18" customHeight="1">
      <c r="A1581" s="239"/>
      <c r="B1581" s="239"/>
      <c r="C1581" s="239"/>
      <c r="D1581" s="239"/>
      <c r="E1581" s="239"/>
      <c r="F1581" s="239"/>
      <c r="G1581" s="239"/>
      <c r="H1581" s="239"/>
    </row>
    <row r="1582" spans="1:8" ht="18" customHeight="1">
      <c r="A1582" s="239"/>
      <c r="B1582" s="239"/>
      <c r="C1582" s="239"/>
      <c r="D1582" s="239"/>
      <c r="E1582" s="239"/>
      <c r="F1582" s="239"/>
      <c r="G1582" s="239"/>
      <c r="H1582" s="239"/>
    </row>
    <row r="1583" spans="1:8" ht="18" customHeight="1">
      <c r="A1583" s="239"/>
      <c r="B1583" s="239"/>
      <c r="C1583" s="239"/>
      <c r="D1583" s="239"/>
      <c r="E1583" s="239"/>
      <c r="F1583" s="239"/>
      <c r="G1583" s="239"/>
      <c r="H1583" s="239"/>
    </row>
    <row r="1584" spans="1:8" ht="18" customHeight="1">
      <c r="A1584" s="239"/>
      <c r="B1584" s="239"/>
      <c r="C1584" s="239"/>
      <c r="D1584" s="239"/>
      <c r="E1584" s="239"/>
      <c r="F1584" s="239"/>
      <c r="G1584" s="239"/>
      <c r="H1584" s="239"/>
    </row>
    <row r="1585" spans="1:8" ht="18" customHeight="1">
      <c r="A1585" s="239"/>
      <c r="B1585" s="239"/>
      <c r="C1585" s="239"/>
      <c r="D1585" s="239"/>
      <c r="E1585" s="239"/>
      <c r="F1585" s="239"/>
      <c r="G1585" s="239"/>
      <c r="H1585" s="239"/>
    </row>
    <row r="1586" spans="1:8" ht="18" customHeight="1">
      <c r="A1586" s="239"/>
      <c r="B1586" s="239"/>
      <c r="C1586" s="239"/>
      <c r="D1586" s="239"/>
      <c r="E1586" s="239"/>
      <c r="F1586" s="239"/>
      <c r="G1586" s="239"/>
      <c r="H1586" s="239"/>
    </row>
    <row r="1587" spans="1:8" ht="18" customHeight="1">
      <c r="A1587" s="239"/>
      <c r="B1587" s="239"/>
      <c r="C1587" s="239"/>
      <c r="D1587" s="239"/>
      <c r="E1587" s="239"/>
      <c r="F1587" s="239"/>
      <c r="G1587" s="239"/>
      <c r="H1587" s="239"/>
    </row>
    <row r="1588" spans="1:8" ht="18" customHeight="1">
      <c r="A1588" s="239"/>
      <c r="B1588" s="239"/>
      <c r="C1588" s="239"/>
      <c r="D1588" s="239"/>
      <c r="E1588" s="239"/>
      <c r="F1588" s="239"/>
      <c r="G1588" s="239"/>
      <c r="H1588" s="239"/>
    </row>
    <row r="1589" spans="1:8" ht="18" customHeight="1">
      <c r="A1589" s="239"/>
      <c r="B1589" s="239"/>
      <c r="C1589" s="239"/>
      <c r="D1589" s="239"/>
      <c r="E1589" s="239"/>
      <c r="F1589" s="239"/>
      <c r="G1589" s="239"/>
      <c r="H1589" s="239"/>
    </row>
    <row r="1590" spans="1:8" ht="18" customHeight="1">
      <c r="A1590" s="239"/>
      <c r="B1590" s="239"/>
      <c r="C1590" s="239"/>
      <c r="D1590" s="239"/>
      <c r="E1590" s="239"/>
      <c r="F1590" s="239"/>
      <c r="G1590" s="239"/>
      <c r="H1590" s="239"/>
    </row>
    <row r="1591" spans="1:8" ht="18" customHeight="1">
      <c r="A1591" s="239"/>
      <c r="B1591" s="239"/>
      <c r="C1591" s="239"/>
      <c r="D1591" s="239"/>
      <c r="E1591" s="239"/>
      <c r="F1591" s="239"/>
      <c r="G1591" s="239"/>
      <c r="H1591" s="239"/>
    </row>
    <row r="1592" spans="1:8" ht="18" customHeight="1">
      <c r="A1592" s="239"/>
      <c r="B1592" s="239"/>
      <c r="C1592" s="239"/>
      <c r="D1592" s="239"/>
      <c r="E1592" s="239"/>
      <c r="F1592" s="239"/>
      <c r="G1592" s="239"/>
      <c r="H1592" s="239"/>
    </row>
    <row r="1593" spans="1:8" ht="18" customHeight="1">
      <c r="A1593" s="239"/>
      <c r="B1593" s="239"/>
      <c r="C1593" s="239"/>
      <c r="D1593" s="239"/>
      <c r="E1593" s="239"/>
      <c r="F1593" s="239"/>
      <c r="G1593" s="239"/>
      <c r="H1593" s="239"/>
    </row>
    <row r="1594" spans="1:8" ht="18" customHeight="1">
      <c r="A1594" s="239"/>
      <c r="B1594" s="239"/>
      <c r="C1594" s="239"/>
      <c r="D1594" s="239"/>
      <c r="E1594" s="239"/>
      <c r="F1594" s="239"/>
      <c r="G1594" s="239"/>
      <c r="H1594" s="239"/>
    </row>
    <row r="1595" spans="1:8" ht="18" customHeight="1">
      <c r="A1595" s="239"/>
      <c r="B1595" s="239"/>
      <c r="C1595" s="239"/>
      <c r="D1595" s="239"/>
      <c r="E1595" s="239"/>
      <c r="F1595" s="239"/>
      <c r="G1595" s="239"/>
      <c r="H1595" s="239"/>
    </row>
    <row r="1596" spans="1:8" ht="18" customHeight="1">
      <c r="A1596" s="239"/>
      <c r="B1596" s="239"/>
      <c r="C1596" s="239"/>
      <c r="D1596" s="239"/>
      <c r="E1596" s="239"/>
      <c r="F1596" s="239"/>
      <c r="G1596" s="239"/>
      <c r="H1596" s="239"/>
    </row>
    <row r="1597" spans="1:8" ht="18" customHeight="1">
      <c r="A1597" s="239"/>
      <c r="B1597" s="239"/>
      <c r="C1597" s="239"/>
      <c r="D1597" s="239"/>
      <c r="E1597" s="239"/>
      <c r="F1597" s="239"/>
      <c r="G1597" s="239"/>
      <c r="H1597" s="239"/>
    </row>
    <row r="1598" spans="1:8" ht="18" customHeight="1">
      <c r="A1598" s="239"/>
      <c r="B1598" s="239"/>
      <c r="C1598" s="239"/>
      <c r="D1598" s="239"/>
      <c r="E1598" s="239"/>
      <c r="F1598" s="239"/>
      <c r="G1598" s="239"/>
      <c r="H1598" s="239"/>
    </row>
    <row r="1599" spans="1:8" ht="18" customHeight="1">
      <c r="A1599" s="239"/>
      <c r="B1599" s="239"/>
      <c r="C1599" s="239"/>
      <c r="D1599" s="239"/>
      <c r="E1599" s="239"/>
      <c r="F1599" s="239"/>
      <c r="G1599" s="239"/>
      <c r="H1599" s="239"/>
    </row>
    <row r="1600" spans="1:8" ht="18" customHeight="1">
      <c r="A1600" s="239"/>
      <c r="B1600" s="239"/>
      <c r="C1600" s="239"/>
      <c r="D1600" s="239"/>
      <c r="E1600" s="239"/>
      <c r="F1600" s="239"/>
      <c r="G1600" s="239"/>
      <c r="H1600" s="239"/>
    </row>
    <row r="1601" spans="1:8" ht="18" customHeight="1">
      <c r="A1601" s="239"/>
      <c r="B1601" s="239"/>
      <c r="C1601" s="239"/>
      <c r="D1601" s="239"/>
      <c r="E1601" s="239"/>
      <c r="F1601" s="239"/>
      <c r="G1601" s="239"/>
      <c r="H1601" s="239"/>
    </row>
    <row r="1602" spans="1:8" ht="18" customHeight="1">
      <c r="A1602" s="239"/>
      <c r="B1602" s="239"/>
      <c r="C1602" s="239"/>
      <c r="D1602" s="239"/>
      <c r="E1602" s="239"/>
      <c r="F1602" s="239"/>
      <c r="G1602" s="239"/>
      <c r="H1602" s="239"/>
    </row>
    <row r="1603" spans="1:8" ht="18" customHeight="1">
      <c r="A1603" s="239"/>
      <c r="B1603" s="239"/>
      <c r="C1603" s="239"/>
      <c r="D1603" s="239"/>
      <c r="E1603" s="239"/>
      <c r="F1603" s="239"/>
      <c r="G1603" s="239"/>
      <c r="H1603" s="239"/>
    </row>
    <row r="1604" spans="1:8" ht="18" customHeight="1">
      <c r="A1604" s="239"/>
      <c r="B1604" s="239"/>
      <c r="C1604" s="239"/>
      <c r="D1604" s="239"/>
      <c r="E1604" s="239"/>
      <c r="F1604" s="239"/>
      <c r="G1604" s="239"/>
      <c r="H1604" s="239"/>
    </row>
    <row r="1605" spans="1:8" ht="18" customHeight="1">
      <c r="A1605" s="239"/>
      <c r="B1605" s="239"/>
      <c r="C1605" s="239"/>
      <c r="D1605" s="239"/>
      <c r="E1605" s="239"/>
      <c r="F1605" s="239"/>
      <c r="G1605" s="239"/>
      <c r="H1605" s="239"/>
    </row>
    <row r="1606" spans="1:8" ht="18" customHeight="1">
      <c r="A1606" s="239"/>
      <c r="B1606" s="239"/>
      <c r="C1606" s="239"/>
      <c r="D1606" s="239"/>
      <c r="E1606" s="239"/>
      <c r="F1606" s="239"/>
      <c r="G1606" s="239"/>
      <c r="H1606" s="239"/>
    </row>
    <row r="1607" spans="1:8" ht="18" customHeight="1">
      <c r="A1607" s="239"/>
      <c r="B1607" s="239"/>
      <c r="C1607" s="239"/>
      <c r="D1607" s="239"/>
      <c r="E1607" s="239"/>
      <c r="F1607" s="239"/>
      <c r="G1607" s="239"/>
      <c r="H1607" s="239"/>
    </row>
    <row r="1608" spans="1:8" ht="18" customHeight="1">
      <c r="A1608" s="239"/>
      <c r="B1608" s="239"/>
      <c r="C1608" s="239"/>
      <c r="D1608" s="239"/>
      <c r="E1608" s="239"/>
      <c r="F1608" s="239"/>
      <c r="G1608" s="239"/>
      <c r="H1608" s="239"/>
    </row>
    <row r="1609" spans="1:8" ht="18" customHeight="1">
      <c r="A1609" s="239"/>
      <c r="B1609" s="239"/>
      <c r="C1609" s="239"/>
      <c r="D1609" s="239"/>
      <c r="E1609" s="239"/>
      <c r="F1609" s="239"/>
      <c r="G1609" s="239"/>
      <c r="H1609" s="239"/>
    </row>
    <row r="1610" spans="1:8" ht="18" customHeight="1">
      <c r="A1610" s="239"/>
      <c r="B1610" s="239"/>
      <c r="C1610" s="239"/>
      <c r="D1610" s="239"/>
      <c r="E1610" s="239"/>
      <c r="F1610" s="239"/>
      <c r="G1610" s="239"/>
      <c r="H1610" s="239"/>
    </row>
    <row r="1611" spans="1:8" ht="18" customHeight="1">
      <c r="A1611" s="239"/>
      <c r="B1611" s="239"/>
      <c r="C1611" s="239"/>
      <c r="D1611" s="239"/>
      <c r="E1611" s="239"/>
      <c r="F1611" s="239"/>
      <c r="G1611" s="239"/>
      <c r="H1611" s="239"/>
    </row>
    <row r="1612" spans="1:8" ht="18" customHeight="1">
      <c r="A1612" s="239"/>
      <c r="B1612" s="239"/>
      <c r="C1612" s="239"/>
      <c r="D1612" s="239"/>
      <c r="E1612" s="239"/>
      <c r="F1612" s="239"/>
      <c r="G1612" s="239"/>
      <c r="H1612" s="239"/>
    </row>
    <row r="1613" spans="1:8" ht="18" customHeight="1">
      <c r="A1613" s="239"/>
      <c r="B1613" s="239"/>
      <c r="C1613" s="239"/>
      <c r="D1613" s="239"/>
      <c r="E1613" s="239"/>
      <c r="F1613" s="239"/>
      <c r="G1613" s="239"/>
      <c r="H1613" s="239"/>
    </row>
    <row r="1614" spans="1:8" ht="18" customHeight="1">
      <c r="A1614" s="239"/>
      <c r="B1614" s="239"/>
      <c r="C1614" s="239"/>
      <c r="D1614" s="239"/>
      <c r="E1614" s="239"/>
      <c r="F1614" s="239"/>
      <c r="G1614" s="239"/>
      <c r="H1614" s="239"/>
    </row>
    <row r="1615" spans="1:8" ht="18" customHeight="1">
      <c r="A1615" s="239"/>
      <c r="B1615" s="239"/>
      <c r="C1615" s="239"/>
      <c r="D1615" s="239"/>
      <c r="E1615" s="239"/>
      <c r="F1615" s="239"/>
      <c r="G1615" s="239"/>
      <c r="H1615" s="239"/>
    </row>
    <row r="1616" spans="1:8" ht="18" customHeight="1">
      <c r="A1616" s="239"/>
      <c r="B1616" s="239"/>
      <c r="C1616" s="239"/>
      <c r="D1616" s="239"/>
      <c r="E1616" s="239"/>
      <c r="F1616" s="239"/>
      <c r="G1616" s="239"/>
      <c r="H1616" s="239"/>
    </row>
    <row r="1617" spans="1:8" ht="18" customHeight="1">
      <c r="A1617" s="239"/>
      <c r="B1617" s="239"/>
      <c r="C1617" s="239"/>
      <c r="D1617" s="239"/>
      <c r="E1617" s="239"/>
      <c r="F1617" s="239"/>
      <c r="G1617" s="239"/>
      <c r="H1617" s="239"/>
    </row>
    <row r="1618" spans="1:8" ht="18" customHeight="1">
      <c r="A1618" s="239"/>
      <c r="B1618" s="239"/>
      <c r="C1618" s="239"/>
      <c r="D1618" s="239"/>
      <c r="E1618" s="239"/>
      <c r="F1618" s="239"/>
      <c r="G1618" s="239"/>
      <c r="H1618" s="239"/>
    </row>
    <row r="1619" spans="1:8" ht="18" customHeight="1">
      <c r="A1619" s="239"/>
      <c r="B1619" s="239"/>
      <c r="C1619" s="239"/>
      <c r="D1619" s="239"/>
      <c r="E1619" s="239"/>
      <c r="F1619" s="239"/>
      <c r="G1619" s="239"/>
      <c r="H1619" s="239"/>
    </row>
    <row r="1620" spans="1:8" ht="18" customHeight="1">
      <c r="A1620" s="239"/>
      <c r="B1620" s="239"/>
      <c r="C1620" s="239"/>
      <c r="D1620" s="239"/>
      <c r="E1620" s="239"/>
      <c r="F1620" s="239"/>
      <c r="G1620" s="239"/>
      <c r="H1620" s="239"/>
    </row>
    <row r="1621" spans="1:8" ht="18" customHeight="1">
      <c r="A1621" s="239"/>
      <c r="B1621" s="239"/>
      <c r="C1621" s="239"/>
      <c r="D1621" s="239"/>
      <c r="E1621" s="239"/>
      <c r="F1621" s="239"/>
      <c r="G1621" s="239"/>
      <c r="H1621" s="239"/>
    </row>
    <row r="1622" spans="1:8" ht="18" customHeight="1">
      <c r="A1622" s="239"/>
      <c r="B1622" s="239"/>
      <c r="C1622" s="239"/>
      <c r="D1622" s="239"/>
      <c r="E1622" s="239"/>
      <c r="F1622" s="239"/>
      <c r="G1622" s="239"/>
      <c r="H1622" s="239"/>
    </row>
    <row r="1623" spans="1:8" ht="18" customHeight="1">
      <c r="A1623" s="239"/>
      <c r="B1623" s="239"/>
      <c r="C1623" s="239"/>
      <c r="D1623" s="239"/>
      <c r="E1623" s="239"/>
      <c r="F1623" s="239"/>
      <c r="G1623" s="239"/>
      <c r="H1623" s="239"/>
    </row>
    <row r="1624" spans="1:8" ht="18" customHeight="1">
      <c r="A1624" s="239"/>
      <c r="B1624" s="239"/>
      <c r="C1624" s="239"/>
      <c r="D1624" s="239"/>
      <c r="E1624" s="239"/>
      <c r="F1624" s="239"/>
      <c r="G1624" s="239"/>
      <c r="H1624" s="239"/>
    </row>
    <row r="1625" spans="1:8" ht="18" customHeight="1">
      <c r="A1625" s="239"/>
      <c r="B1625" s="239"/>
      <c r="C1625" s="239"/>
      <c r="D1625" s="239"/>
      <c r="E1625" s="239"/>
      <c r="F1625" s="239"/>
      <c r="G1625" s="239"/>
      <c r="H1625" s="239"/>
    </row>
    <row r="1626" spans="1:8" ht="18" customHeight="1">
      <c r="A1626" s="239"/>
      <c r="B1626" s="239"/>
      <c r="C1626" s="239"/>
      <c r="D1626" s="239"/>
      <c r="E1626" s="239"/>
      <c r="F1626" s="239"/>
      <c r="G1626" s="239"/>
      <c r="H1626" s="239"/>
    </row>
    <row r="1627" spans="1:8" ht="18" customHeight="1">
      <c r="A1627" s="239"/>
      <c r="B1627" s="239"/>
      <c r="C1627" s="239"/>
      <c r="D1627" s="239"/>
      <c r="E1627" s="239"/>
      <c r="F1627" s="239"/>
      <c r="G1627" s="239"/>
      <c r="H1627" s="239"/>
    </row>
    <row r="1628" spans="1:8" ht="18" customHeight="1">
      <c r="A1628" s="239"/>
      <c r="B1628" s="239"/>
      <c r="C1628" s="239"/>
      <c r="D1628" s="239"/>
      <c r="E1628" s="239"/>
      <c r="F1628" s="239"/>
      <c r="G1628" s="239"/>
      <c r="H1628" s="239"/>
    </row>
    <row r="1629" spans="1:8" ht="18" customHeight="1">
      <c r="A1629" s="239"/>
      <c r="B1629" s="239"/>
      <c r="C1629" s="239"/>
      <c r="D1629" s="239"/>
      <c r="E1629" s="239"/>
      <c r="F1629" s="239"/>
      <c r="G1629" s="239"/>
      <c r="H1629" s="239"/>
    </row>
    <row r="1630" spans="1:8" ht="18" customHeight="1">
      <c r="A1630" s="239"/>
      <c r="B1630" s="239"/>
      <c r="C1630" s="239"/>
      <c r="D1630" s="239"/>
      <c r="E1630" s="239"/>
      <c r="F1630" s="239"/>
      <c r="G1630" s="239"/>
      <c r="H1630" s="239"/>
    </row>
    <row r="1631" spans="1:8" ht="18" customHeight="1">
      <c r="A1631" s="239"/>
      <c r="B1631" s="239"/>
      <c r="C1631" s="239"/>
      <c r="D1631" s="239"/>
      <c r="E1631" s="239"/>
      <c r="F1631" s="239"/>
      <c r="G1631" s="239"/>
      <c r="H1631" s="239"/>
    </row>
    <row r="1632" spans="1:8" ht="18" customHeight="1">
      <c r="A1632" s="239"/>
      <c r="B1632" s="239"/>
      <c r="C1632" s="239"/>
      <c r="D1632" s="239"/>
      <c r="E1632" s="239"/>
      <c r="F1632" s="239"/>
      <c r="G1632" s="239"/>
      <c r="H1632" s="239"/>
    </row>
    <row r="1633" spans="1:8" ht="18" customHeight="1">
      <c r="A1633" s="239"/>
      <c r="B1633" s="239"/>
      <c r="C1633" s="239"/>
      <c r="D1633" s="239"/>
      <c r="E1633" s="239"/>
      <c r="F1633" s="239"/>
      <c r="G1633" s="239"/>
      <c r="H1633" s="239"/>
    </row>
    <row r="1634" spans="1:8" ht="18" customHeight="1">
      <c r="A1634" s="239"/>
      <c r="B1634" s="239"/>
      <c r="C1634" s="239"/>
      <c r="D1634" s="239"/>
      <c r="E1634" s="239"/>
      <c r="F1634" s="239"/>
      <c r="G1634" s="239"/>
      <c r="H1634" s="239"/>
    </row>
    <row r="1635" spans="1:8" ht="18" customHeight="1">
      <c r="A1635" s="239"/>
      <c r="B1635" s="239"/>
      <c r="C1635" s="239"/>
      <c r="D1635" s="239"/>
      <c r="E1635" s="239"/>
      <c r="F1635" s="239"/>
      <c r="G1635" s="239"/>
      <c r="H1635" s="239"/>
    </row>
    <row r="1636" spans="1:8" ht="18" customHeight="1">
      <c r="A1636" s="239"/>
      <c r="B1636" s="239"/>
      <c r="C1636" s="239"/>
      <c r="D1636" s="239"/>
      <c r="E1636" s="239"/>
      <c r="F1636" s="239"/>
      <c r="G1636" s="239"/>
      <c r="H1636" s="239"/>
    </row>
    <row r="1637" spans="1:8" ht="18" customHeight="1">
      <c r="A1637" s="239"/>
      <c r="B1637" s="239"/>
      <c r="C1637" s="239"/>
      <c r="D1637" s="239"/>
      <c r="E1637" s="239"/>
      <c r="F1637" s="239"/>
      <c r="G1637" s="239"/>
      <c r="H1637" s="239"/>
    </row>
    <row r="1638" spans="1:8" ht="18" customHeight="1">
      <c r="A1638" s="239"/>
      <c r="B1638" s="239"/>
      <c r="C1638" s="239"/>
      <c r="D1638" s="239"/>
      <c r="E1638" s="239"/>
      <c r="F1638" s="239"/>
      <c r="G1638" s="239"/>
      <c r="H1638" s="239"/>
    </row>
    <row r="1639" spans="1:8" ht="18" customHeight="1">
      <c r="A1639" s="239"/>
      <c r="B1639" s="239"/>
      <c r="C1639" s="239"/>
      <c r="D1639" s="239"/>
      <c r="E1639" s="239"/>
      <c r="F1639" s="239"/>
      <c r="G1639" s="239"/>
      <c r="H1639" s="239"/>
    </row>
    <row r="1640" spans="1:8" ht="18" customHeight="1">
      <c r="A1640" s="239"/>
      <c r="B1640" s="239"/>
      <c r="C1640" s="239"/>
      <c r="D1640" s="239"/>
      <c r="E1640" s="239"/>
      <c r="F1640" s="239"/>
      <c r="G1640" s="239"/>
      <c r="H1640" s="239"/>
    </row>
    <row r="1641" spans="1:8" ht="18" customHeight="1">
      <c r="A1641" s="239"/>
      <c r="B1641" s="239"/>
      <c r="C1641" s="239"/>
      <c r="D1641" s="239"/>
      <c r="E1641" s="239"/>
      <c r="F1641" s="239"/>
      <c r="G1641" s="239"/>
      <c r="H1641" s="239"/>
    </row>
    <row r="1642" spans="1:8" ht="18" customHeight="1">
      <c r="A1642" s="239"/>
      <c r="B1642" s="239"/>
      <c r="C1642" s="239"/>
      <c r="D1642" s="239"/>
      <c r="E1642" s="239"/>
      <c r="F1642" s="239"/>
      <c r="G1642" s="239"/>
      <c r="H1642" s="239"/>
    </row>
    <row r="1643" spans="1:8" ht="18" customHeight="1">
      <c r="A1643" s="239"/>
      <c r="B1643" s="239"/>
      <c r="C1643" s="239"/>
      <c r="D1643" s="239"/>
      <c r="E1643" s="239"/>
      <c r="F1643" s="239"/>
      <c r="G1643" s="239"/>
      <c r="H1643" s="239"/>
    </row>
    <row r="1644" spans="1:8" ht="18" customHeight="1">
      <c r="A1644" s="239"/>
      <c r="B1644" s="239"/>
      <c r="C1644" s="239"/>
      <c r="D1644" s="239"/>
      <c r="E1644" s="239"/>
      <c r="F1644" s="239"/>
      <c r="G1644" s="239"/>
      <c r="H1644" s="239"/>
    </row>
    <row r="1645" spans="1:8" ht="18" customHeight="1">
      <c r="A1645" s="239"/>
      <c r="B1645" s="239"/>
      <c r="C1645" s="239"/>
      <c r="D1645" s="239"/>
      <c r="E1645" s="239"/>
      <c r="F1645" s="239"/>
      <c r="G1645" s="239"/>
      <c r="H1645" s="239"/>
    </row>
    <row r="1646" spans="1:8" ht="18" customHeight="1">
      <c r="A1646" s="239"/>
      <c r="B1646" s="239"/>
      <c r="C1646" s="239"/>
      <c r="D1646" s="239"/>
      <c r="E1646" s="239"/>
      <c r="F1646" s="239"/>
      <c r="G1646" s="239"/>
      <c r="H1646" s="239"/>
    </row>
    <row r="1647" spans="1:8" ht="18" customHeight="1">
      <c r="A1647" s="239"/>
      <c r="B1647" s="239"/>
      <c r="C1647" s="239"/>
      <c r="D1647" s="239"/>
      <c r="E1647" s="239"/>
      <c r="F1647" s="239"/>
      <c r="G1647" s="239"/>
      <c r="H1647" s="239"/>
    </row>
    <row r="1648" spans="1:8" ht="18" customHeight="1">
      <c r="A1648" s="239"/>
      <c r="B1648" s="239"/>
      <c r="C1648" s="239"/>
      <c r="D1648" s="239"/>
      <c r="E1648" s="239"/>
      <c r="F1648" s="239"/>
      <c r="G1648" s="239"/>
      <c r="H1648" s="239"/>
    </row>
    <row r="1649" spans="1:8" ht="18" customHeight="1">
      <c r="A1649" s="239"/>
      <c r="B1649" s="239"/>
      <c r="C1649" s="239"/>
      <c r="D1649" s="239"/>
      <c r="E1649" s="239"/>
      <c r="F1649" s="239"/>
      <c r="G1649" s="239"/>
      <c r="H1649" s="239"/>
    </row>
    <row r="1650" spans="1:8" ht="18" customHeight="1">
      <c r="A1650" s="239"/>
      <c r="B1650" s="239"/>
      <c r="C1650" s="239"/>
      <c r="D1650" s="239"/>
      <c r="E1650" s="239"/>
      <c r="F1650" s="239"/>
      <c r="G1650" s="239"/>
      <c r="H1650" s="239"/>
    </row>
    <row r="1651" spans="1:8" ht="18" customHeight="1">
      <c r="A1651" s="239"/>
      <c r="B1651" s="239"/>
      <c r="C1651" s="239"/>
      <c r="D1651" s="239"/>
      <c r="E1651" s="239"/>
      <c r="F1651" s="239"/>
      <c r="G1651" s="239"/>
      <c r="H1651" s="239"/>
    </row>
    <row r="1652" spans="1:8" ht="18" customHeight="1">
      <c r="A1652" s="239"/>
      <c r="B1652" s="239"/>
      <c r="C1652" s="239"/>
      <c r="D1652" s="239"/>
      <c r="E1652" s="239"/>
      <c r="F1652" s="239"/>
      <c r="G1652" s="239"/>
      <c r="H1652" s="239"/>
    </row>
    <row r="1653" spans="1:8" ht="18" customHeight="1">
      <c r="A1653" s="239"/>
      <c r="B1653" s="239"/>
      <c r="C1653" s="239"/>
      <c r="D1653" s="239"/>
      <c r="E1653" s="239"/>
      <c r="F1653" s="239"/>
      <c r="G1653" s="239"/>
      <c r="H1653" s="239"/>
    </row>
    <row r="1654" spans="1:8" ht="18" customHeight="1">
      <c r="A1654" s="239"/>
      <c r="B1654" s="239"/>
      <c r="C1654" s="239"/>
      <c r="D1654" s="239"/>
      <c r="E1654" s="239"/>
      <c r="F1654" s="239"/>
      <c r="G1654" s="239"/>
      <c r="H1654" s="239"/>
    </row>
    <row r="1655" spans="1:8" ht="18" customHeight="1">
      <c r="A1655" s="239"/>
      <c r="B1655" s="239"/>
      <c r="C1655" s="239"/>
      <c r="D1655" s="239"/>
      <c r="E1655" s="239"/>
      <c r="F1655" s="239"/>
      <c r="G1655" s="239"/>
      <c r="H1655" s="239"/>
    </row>
    <row r="1656" spans="1:8" ht="18" customHeight="1">
      <c r="A1656" s="239"/>
      <c r="B1656" s="239"/>
      <c r="C1656" s="239"/>
      <c r="D1656" s="239"/>
      <c r="E1656" s="239"/>
      <c r="F1656" s="239"/>
      <c r="G1656" s="239"/>
      <c r="H1656" s="239"/>
    </row>
    <row r="1657" spans="1:8" ht="18" customHeight="1">
      <c r="A1657" s="239"/>
      <c r="B1657" s="239"/>
      <c r="C1657" s="239"/>
      <c r="D1657" s="239"/>
      <c r="E1657" s="239"/>
      <c r="F1657" s="239"/>
      <c r="G1657" s="239"/>
      <c r="H1657" s="239"/>
    </row>
    <row r="1658" spans="1:8" ht="18" customHeight="1">
      <c r="A1658" s="239"/>
      <c r="B1658" s="239"/>
      <c r="C1658" s="239"/>
      <c r="D1658" s="239"/>
      <c r="E1658" s="239"/>
      <c r="F1658" s="239"/>
      <c r="G1658" s="239"/>
      <c r="H1658" s="239"/>
    </row>
    <row r="1659" spans="1:8" ht="18" customHeight="1">
      <c r="A1659" s="239"/>
      <c r="B1659" s="239"/>
      <c r="C1659" s="239"/>
      <c r="D1659" s="239"/>
      <c r="E1659" s="239"/>
      <c r="F1659" s="239"/>
      <c r="G1659" s="239"/>
      <c r="H1659" s="239"/>
    </row>
    <row r="1660" spans="1:8" ht="18" customHeight="1">
      <c r="A1660" s="239"/>
      <c r="B1660" s="239"/>
      <c r="C1660" s="239"/>
      <c r="D1660" s="239"/>
      <c r="E1660" s="239"/>
      <c r="F1660" s="239"/>
      <c r="G1660" s="239"/>
      <c r="H1660" s="239"/>
    </row>
    <row r="1661" spans="1:8" ht="18" customHeight="1">
      <c r="A1661" s="239"/>
      <c r="B1661" s="239"/>
      <c r="C1661" s="239"/>
      <c r="D1661" s="239"/>
      <c r="E1661" s="239"/>
      <c r="F1661" s="239"/>
      <c r="G1661" s="239"/>
      <c r="H1661" s="239"/>
    </row>
    <row r="1662" spans="1:8" ht="18" customHeight="1">
      <c r="A1662" s="239"/>
      <c r="B1662" s="239"/>
      <c r="C1662" s="239"/>
      <c r="D1662" s="239"/>
      <c r="E1662" s="239"/>
      <c r="F1662" s="239"/>
      <c r="G1662" s="239"/>
      <c r="H1662" s="239"/>
    </row>
    <row r="1663" spans="1:8" ht="18" customHeight="1">
      <c r="A1663" s="239"/>
      <c r="B1663" s="239"/>
      <c r="C1663" s="239"/>
      <c r="D1663" s="239"/>
      <c r="E1663" s="239"/>
      <c r="F1663" s="239"/>
      <c r="G1663" s="239"/>
      <c r="H1663" s="239"/>
    </row>
    <row r="1664" spans="1:8" ht="18" customHeight="1">
      <c r="A1664" s="239"/>
      <c r="B1664" s="239"/>
      <c r="C1664" s="239"/>
      <c r="D1664" s="239"/>
      <c r="E1664" s="239"/>
      <c r="F1664" s="239"/>
      <c r="G1664" s="239"/>
      <c r="H1664" s="239"/>
    </row>
    <row r="1665" spans="1:8" ht="18" customHeight="1">
      <c r="A1665" s="239"/>
      <c r="B1665" s="239"/>
      <c r="C1665" s="239"/>
      <c r="D1665" s="239"/>
      <c r="E1665" s="239"/>
      <c r="F1665" s="239"/>
      <c r="G1665" s="239"/>
      <c r="H1665" s="239"/>
    </row>
    <row r="1666" spans="1:8" ht="18" customHeight="1">
      <c r="A1666" s="239"/>
      <c r="B1666" s="239"/>
      <c r="C1666" s="239"/>
      <c r="D1666" s="239"/>
      <c r="E1666" s="239"/>
      <c r="F1666" s="239"/>
      <c r="G1666" s="239"/>
      <c r="H1666" s="239"/>
    </row>
    <row r="1667" spans="1:8" ht="18" customHeight="1">
      <c r="A1667" s="239"/>
      <c r="B1667" s="239"/>
      <c r="C1667" s="239"/>
      <c r="D1667" s="239"/>
      <c r="E1667" s="239"/>
      <c r="F1667" s="239"/>
      <c r="G1667" s="239"/>
      <c r="H1667" s="239"/>
    </row>
    <row r="1668" spans="1:8" ht="18" customHeight="1">
      <c r="A1668" s="239"/>
      <c r="B1668" s="239"/>
      <c r="C1668" s="239"/>
      <c r="D1668" s="239"/>
      <c r="E1668" s="239"/>
      <c r="F1668" s="239"/>
      <c r="G1668" s="239"/>
      <c r="H1668" s="239"/>
    </row>
    <row r="1669" spans="1:8" ht="18" customHeight="1">
      <c r="A1669" s="239"/>
      <c r="B1669" s="239"/>
      <c r="C1669" s="239"/>
      <c r="D1669" s="239"/>
      <c r="E1669" s="239"/>
      <c r="F1669" s="239"/>
      <c r="G1669" s="239"/>
      <c r="H1669" s="239"/>
    </row>
    <row r="1670" spans="1:8" ht="18" customHeight="1">
      <c r="A1670" s="239"/>
      <c r="B1670" s="239"/>
      <c r="C1670" s="239"/>
      <c r="D1670" s="239"/>
      <c r="E1670" s="239"/>
      <c r="F1670" s="239"/>
      <c r="G1670" s="239"/>
      <c r="H1670" s="239"/>
    </row>
    <row r="1671" spans="1:8" ht="18" customHeight="1">
      <c r="A1671" s="239"/>
      <c r="B1671" s="239"/>
      <c r="C1671" s="239"/>
      <c r="D1671" s="239"/>
      <c r="E1671" s="239"/>
      <c r="F1671" s="239"/>
      <c r="G1671" s="239"/>
      <c r="H1671" s="239"/>
    </row>
    <row r="1672" spans="1:8" ht="18" customHeight="1">
      <c r="A1672" s="239"/>
      <c r="B1672" s="239"/>
      <c r="C1672" s="239"/>
      <c r="D1672" s="239"/>
      <c r="E1672" s="239"/>
      <c r="F1672" s="239"/>
      <c r="G1672" s="239"/>
      <c r="H1672" s="239"/>
    </row>
    <row r="1673" spans="1:8" ht="18" customHeight="1">
      <c r="A1673" s="239"/>
      <c r="B1673" s="239"/>
      <c r="C1673" s="239"/>
      <c r="D1673" s="239"/>
      <c r="E1673" s="239"/>
      <c r="F1673" s="239"/>
      <c r="G1673" s="239"/>
      <c r="H1673" s="239"/>
    </row>
    <row r="1674" spans="1:8" ht="18" customHeight="1">
      <c r="A1674" s="239"/>
      <c r="B1674" s="239"/>
      <c r="C1674" s="239"/>
      <c r="D1674" s="239"/>
      <c r="E1674" s="239"/>
      <c r="F1674" s="239"/>
      <c r="G1674" s="239"/>
      <c r="H1674" s="239"/>
    </row>
    <row r="1675" spans="1:8" ht="18" customHeight="1">
      <c r="A1675" s="239"/>
      <c r="B1675" s="239"/>
      <c r="C1675" s="239"/>
      <c r="D1675" s="239"/>
      <c r="E1675" s="239"/>
      <c r="F1675" s="239"/>
      <c r="G1675" s="239"/>
      <c r="H1675" s="239"/>
    </row>
    <row r="1676" spans="1:8" ht="18" customHeight="1">
      <c r="A1676" s="239"/>
      <c r="B1676" s="239"/>
      <c r="C1676" s="239"/>
      <c r="D1676" s="239"/>
      <c r="E1676" s="239"/>
      <c r="F1676" s="239"/>
      <c r="G1676" s="239"/>
      <c r="H1676" s="239"/>
    </row>
    <row r="1677" spans="1:8" ht="18" customHeight="1">
      <c r="A1677" s="239"/>
      <c r="B1677" s="239"/>
      <c r="C1677" s="239"/>
      <c r="D1677" s="239"/>
      <c r="E1677" s="239"/>
      <c r="F1677" s="239"/>
      <c r="G1677" s="239"/>
      <c r="H1677" s="239"/>
    </row>
    <row r="1678" spans="1:8" ht="18" customHeight="1">
      <c r="A1678" s="239"/>
      <c r="B1678" s="239"/>
      <c r="C1678" s="239"/>
      <c r="D1678" s="239"/>
      <c r="E1678" s="239"/>
      <c r="F1678" s="239"/>
      <c r="G1678" s="239"/>
      <c r="H1678" s="239"/>
    </row>
    <row r="1679" spans="1:8" ht="18" customHeight="1">
      <c r="A1679" s="239"/>
      <c r="B1679" s="239"/>
      <c r="C1679" s="239"/>
      <c r="D1679" s="239"/>
      <c r="E1679" s="239"/>
      <c r="F1679" s="239"/>
      <c r="G1679" s="239"/>
      <c r="H1679" s="239"/>
    </row>
    <row r="1680" spans="1:8" ht="18" customHeight="1">
      <c r="A1680" s="239"/>
      <c r="B1680" s="239"/>
      <c r="C1680" s="239"/>
      <c r="D1680" s="239"/>
      <c r="E1680" s="239"/>
      <c r="F1680" s="239"/>
      <c r="G1680" s="239"/>
      <c r="H1680" s="239"/>
    </row>
    <row r="1681" spans="1:8" ht="18" customHeight="1">
      <c r="A1681" s="239"/>
      <c r="B1681" s="239"/>
      <c r="C1681" s="239"/>
      <c r="D1681" s="239"/>
      <c r="E1681" s="239"/>
      <c r="F1681" s="239"/>
      <c r="G1681" s="239"/>
      <c r="H1681" s="239"/>
    </row>
    <row r="1682" spans="1:8" ht="18" customHeight="1">
      <c r="A1682" s="239"/>
      <c r="B1682" s="239"/>
      <c r="C1682" s="239"/>
      <c r="D1682" s="239"/>
      <c r="E1682" s="239"/>
      <c r="F1682" s="239"/>
      <c r="G1682" s="239"/>
      <c r="H1682" s="239"/>
    </row>
    <row r="1683" spans="1:8" ht="18" customHeight="1">
      <c r="A1683" s="239"/>
      <c r="B1683" s="239"/>
      <c r="C1683" s="239"/>
      <c r="D1683" s="239"/>
      <c r="E1683" s="239"/>
      <c r="F1683" s="239"/>
      <c r="G1683" s="239"/>
      <c r="H1683" s="239"/>
    </row>
    <row r="1684" spans="1:8" ht="18" customHeight="1">
      <c r="A1684" s="239"/>
      <c r="B1684" s="239"/>
      <c r="C1684" s="239"/>
      <c r="D1684" s="239"/>
      <c r="E1684" s="239"/>
      <c r="F1684" s="239"/>
      <c r="G1684" s="239"/>
      <c r="H1684" s="239"/>
    </row>
    <row r="1685" spans="1:8" ht="18" customHeight="1">
      <c r="A1685" s="239"/>
      <c r="B1685" s="239"/>
      <c r="C1685" s="239"/>
      <c r="D1685" s="239"/>
      <c r="E1685" s="239"/>
      <c r="F1685" s="239"/>
      <c r="G1685" s="239"/>
      <c r="H1685" s="239"/>
    </row>
    <row r="1686" spans="1:8" ht="18" customHeight="1">
      <c r="A1686" s="239"/>
      <c r="B1686" s="239"/>
      <c r="C1686" s="239"/>
      <c r="D1686" s="239"/>
      <c r="E1686" s="239"/>
      <c r="F1686" s="239"/>
      <c r="G1686" s="239"/>
      <c r="H1686" s="239"/>
    </row>
    <row r="1687" spans="1:8" ht="18" customHeight="1">
      <c r="A1687" s="239"/>
      <c r="B1687" s="239"/>
      <c r="C1687" s="239"/>
      <c r="D1687" s="239"/>
      <c r="E1687" s="239"/>
      <c r="F1687" s="239"/>
      <c r="G1687" s="239"/>
      <c r="H1687" s="239"/>
    </row>
    <row r="1688" spans="1:8" ht="18" customHeight="1">
      <c r="A1688" s="239"/>
      <c r="B1688" s="239"/>
      <c r="C1688" s="239"/>
      <c r="D1688" s="239"/>
      <c r="E1688" s="239"/>
      <c r="F1688" s="239"/>
      <c r="G1688" s="239"/>
      <c r="H1688" s="239"/>
    </row>
    <row r="1689" spans="1:8" ht="18" customHeight="1">
      <c r="A1689" s="239"/>
      <c r="B1689" s="239"/>
      <c r="C1689" s="239"/>
      <c r="D1689" s="239"/>
      <c r="E1689" s="239"/>
      <c r="F1689" s="239"/>
      <c r="G1689" s="239"/>
      <c r="H1689" s="239"/>
    </row>
    <row r="1690" spans="1:8" ht="18" customHeight="1">
      <c r="A1690" s="239"/>
      <c r="B1690" s="239"/>
      <c r="C1690" s="239"/>
      <c r="D1690" s="239"/>
      <c r="E1690" s="239"/>
      <c r="F1690" s="239"/>
      <c r="G1690" s="239"/>
      <c r="H1690" s="239"/>
    </row>
    <row r="1691" spans="1:8" ht="18" customHeight="1">
      <c r="A1691" s="239"/>
      <c r="B1691" s="239"/>
      <c r="C1691" s="239"/>
      <c r="D1691" s="239"/>
      <c r="E1691" s="239"/>
      <c r="F1691" s="239"/>
      <c r="G1691" s="239"/>
      <c r="H1691" s="239"/>
    </row>
    <row r="1692" spans="1:8" ht="18" customHeight="1">
      <c r="A1692" s="239"/>
      <c r="B1692" s="239"/>
      <c r="C1692" s="239"/>
      <c r="D1692" s="239"/>
      <c r="E1692" s="239"/>
      <c r="F1692" s="239"/>
      <c r="G1692" s="239"/>
      <c r="H1692" s="239"/>
    </row>
    <row r="1693" spans="1:8" ht="18" customHeight="1">
      <c r="A1693" s="239"/>
      <c r="B1693" s="239"/>
      <c r="C1693" s="239"/>
      <c r="D1693" s="239"/>
      <c r="E1693" s="239"/>
      <c r="F1693" s="239"/>
      <c r="G1693" s="239"/>
      <c r="H1693" s="239"/>
    </row>
    <row r="1694" spans="1:8" ht="18" customHeight="1">
      <c r="A1694" s="239"/>
      <c r="B1694" s="239"/>
      <c r="C1694" s="239"/>
      <c r="D1694" s="239"/>
      <c r="E1694" s="239"/>
      <c r="F1694" s="239"/>
      <c r="G1694" s="239"/>
      <c r="H1694" s="239"/>
    </row>
    <row r="1695" spans="1:8" ht="18" customHeight="1">
      <c r="A1695" s="239"/>
      <c r="B1695" s="239"/>
      <c r="C1695" s="239"/>
      <c r="D1695" s="239"/>
      <c r="E1695" s="239"/>
      <c r="F1695" s="239"/>
      <c r="G1695" s="239"/>
      <c r="H1695" s="239"/>
    </row>
    <row r="1696" spans="1:8" ht="18" customHeight="1">
      <c r="A1696" s="239"/>
      <c r="B1696" s="239"/>
      <c r="C1696" s="239"/>
      <c r="D1696" s="239"/>
      <c r="E1696" s="239"/>
      <c r="F1696" s="239"/>
      <c r="G1696" s="239"/>
      <c r="H1696" s="239"/>
    </row>
    <row r="1697" spans="1:8" ht="18" customHeight="1">
      <c r="A1697" s="239"/>
      <c r="B1697" s="239"/>
      <c r="C1697" s="239"/>
      <c r="D1697" s="239"/>
      <c r="E1697" s="239"/>
      <c r="F1697" s="239"/>
      <c r="G1697" s="239"/>
      <c r="H1697" s="239"/>
    </row>
    <row r="1698" spans="1:8" ht="18" customHeight="1">
      <c r="A1698" s="239"/>
      <c r="B1698" s="239"/>
      <c r="C1698" s="239"/>
      <c r="D1698" s="239"/>
      <c r="E1698" s="239"/>
      <c r="F1698" s="239"/>
      <c r="G1698" s="239"/>
      <c r="H1698" s="239"/>
    </row>
    <row r="1699" spans="1:8" ht="18" customHeight="1">
      <c r="A1699" s="239"/>
      <c r="B1699" s="239"/>
      <c r="C1699" s="239"/>
      <c r="D1699" s="239"/>
      <c r="E1699" s="239"/>
      <c r="F1699" s="239"/>
      <c r="G1699" s="239"/>
      <c r="H1699" s="239"/>
    </row>
    <row r="1700" spans="1:8" ht="18" customHeight="1">
      <c r="A1700" s="239"/>
      <c r="B1700" s="239"/>
      <c r="C1700" s="239"/>
      <c r="D1700" s="239"/>
      <c r="E1700" s="239"/>
      <c r="F1700" s="239"/>
      <c r="G1700" s="239"/>
      <c r="H1700" s="239"/>
    </row>
    <row r="1701" spans="1:8" ht="18" customHeight="1">
      <c r="A1701" s="239"/>
      <c r="B1701" s="239"/>
      <c r="C1701" s="239"/>
      <c r="D1701" s="239"/>
      <c r="E1701" s="239"/>
      <c r="F1701" s="239"/>
      <c r="G1701" s="239"/>
      <c r="H1701" s="239"/>
    </row>
    <row r="1702" spans="1:8" ht="18" customHeight="1">
      <c r="A1702" s="239"/>
      <c r="B1702" s="239"/>
      <c r="C1702" s="239"/>
      <c r="D1702" s="239"/>
      <c r="E1702" s="239"/>
      <c r="F1702" s="239"/>
      <c r="G1702" s="239"/>
      <c r="H1702" s="239"/>
    </row>
    <row r="1703" spans="1:8" ht="18" customHeight="1">
      <c r="A1703" s="239"/>
      <c r="B1703" s="239"/>
      <c r="C1703" s="239"/>
      <c r="D1703" s="239"/>
      <c r="E1703" s="239"/>
      <c r="F1703" s="239"/>
      <c r="G1703" s="239"/>
      <c r="H1703" s="239"/>
    </row>
    <row r="1704" spans="1:8" ht="18" customHeight="1">
      <c r="A1704" s="239"/>
      <c r="B1704" s="239"/>
      <c r="C1704" s="239"/>
      <c r="D1704" s="239"/>
      <c r="E1704" s="239"/>
      <c r="F1704" s="239"/>
      <c r="G1704" s="239"/>
      <c r="H1704" s="239"/>
    </row>
    <row r="1705" spans="1:8" ht="18" customHeight="1">
      <c r="A1705" s="239"/>
      <c r="B1705" s="239"/>
      <c r="C1705" s="239"/>
      <c r="D1705" s="239"/>
      <c r="E1705" s="239"/>
      <c r="F1705" s="239"/>
      <c r="G1705" s="239"/>
      <c r="H1705" s="239"/>
    </row>
    <row r="1706" spans="1:8" ht="18" customHeight="1">
      <c r="A1706" s="239"/>
      <c r="B1706" s="239"/>
      <c r="C1706" s="239"/>
      <c r="D1706" s="239"/>
      <c r="E1706" s="239"/>
      <c r="F1706" s="239"/>
      <c r="G1706" s="239"/>
      <c r="H1706" s="239"/>
    </row>
    <row r="1707" spans="1:8" ht="18" customHeight="1">
      <c r="A1707" s="239"/>
      <c r="B1707" s="239"/>
      <c r="C1707" s="239"/>
      <c r="D1707" s="239"/>
      <c r="E1707" s="239"/>
      <c r="F1707" s="239"/>
      <c r="G1707" s="239"/>
      <c r="H1707" s="239"/>
    </row>
    <row r="1708" spans="1:8" ht="18" customHeight="1">
      <c r="A1708" s="239"/>
      <c r="B1708" s="239"/>
      <c r="C1708" s="239"/>
      <c r="D1708" s="239"/>
      <c r="E1708" s="239"/>
      <c r="F1708" s="239"/>
      <c r="G1708" s="239"/>
      <c r="H1708" s="239"/>
    </row>
    <row r="1709" spans="1:8" ht="18" customHeight="1">
      <c r="A1709" s="239"/>
      <c r="B1709" s="239"/>
      <c r="C1709" s="239"/>
      <c r="D1709" s="239"/>
      <c r="E1709" s="239"/>
      <c r="F1709" s="239"/>
      <c r="G1709" s="239"/>
      <c r="H1709" s="239"/>
    </row>
    <row r="1710" spans="1:8" ht="18" customHeight="1">
      <c r="A1710" s="239"/>
      <c r="B1710" s="239"/>
      <c r="C1710" s="239"/>
      <c r="D1710" s="239"/>
      <c r="E1710" s="239"/>
      <c r="F1710" s="239"/>
      <c r="G1710" s="239"/>
      <c r="H1710" s="239"/>
    </row>
    <row r="1711" spans="1:8" ht="18" customHeight="1">
      <c r="A1711" s="239"/>
      <c r="B1711" s="239"/>
      <c r="C1711" s="239"/>
      <c r="D1711" s="239"/>
      <c r="E1711" s="239"/>
      <c r="F1711" s="239"/>
      <c r="G1711" s="239"/>
      <c r="H1711" s="239"/>
    </row>
    <row r="1712" spans="1:8" ht="18" customHeight="1">
      <c r="A1712" s="239"/>
      <c r="B1712" s="239"/>
      <c r="C1712" s="239"/>
      <c r="D1712" s="239"/>
      <c r="E1712" s="239"/>
      <c r="F1712" s="239"/>
      <c r="G1712" s="239"/>
      <c r="H1712" s="239"/>
    </row>
    <row r="1713" spans="1:8" ht="18" customHeight="1">
      <c r="A1713" s="239"/>
      <c r="B1713" s="239"/>
      <c r="C1713" s="239"/>
      <c r="D1713" s="239"/>
      <c r="E1713" s="239"/>
      <c r="F1713" s="239"/>
      <c r="G1713" s="239"/>
      <c r="H1713" s="239"/>
    </row>
    <row r="1714" spans="1:8" ht="18" customHeight="1">
      <c r="A1714" s="239"/>
      <c r="B1714" s="239"/>
      <c r="C1714" s="239"/>
      <c r="D1714" s="239"/>
      <c r="E1714" s="239"/>
      <c r="F1714" s="239"/>
      <c r="G1714" s="239"/>
      <c r="H1714" s="239"/>
    </row>
    <row r="1715" spans="1:8" ht="18" customHeight="1">
      <c r="A1715" s="239"/>
      <c r="B1715" s="239"/>
      <c r="C1715" s="239"/>
      <c r="D1715" s="239"/>
      <c r="E1715" s="239"/>
      <c r="F1715" s="239"/>
      <c r="G1715" s="239"/>
      <c r="H1715" s="239"/>
    </row>
    <row r="1716" spans="1:8" ht="18" customHeight="1">
      <c r="A1716" s="239"/>
      <c r="B1716" s="239"/>
      <c r="C1716" s="239"/>
      <c r="D1716" s="239"/>
      <c r="E1716" s="239"/>
      <c r="F1716" s="239"/>
      <c r="G1716" s="239"/>
      <c r="H1716" s="239"/>
    </row>
    <row r="1717" spans="1:8" ht="18" customHeight="1">
      <c r="A1717" s="239"/>
      <c r="B1717" s="239"/>
      <c r="C1717" s="239"/>
      <c r="D1717" s="239"/>
      <c r="E1717" s="239"/>
      <c r="F1717" s="239"/>
      <c r="G1717" s="239"/>
      <c r="H1717" s="239"/>
    </row>
    <row r="1718" spans="1:8" ht="18" customHeight="1">
      <c r="A1718" s="239"/>
      <c r="B1718" s="239"/>
      <c r="C1718" s="239"/>
      <c r="D1718" s="239"/>
      <c r="E1718" s="239"/>
      <c r="F1718" s="239"/>
      <c r="G1718" s="239"/>
      <c r="H1718" s="239"/>
    </row>
    <row r="1719" spans="1:8" ht="18" customHeight="1">
      <c r="A1719" s="239"/>
      <c r="B1719" s="239"/>
      <c r="C1719" s="239"/>
      <c r="D1719" s="239"/>
      <c r="E1719" s="239"/>
      <c r="F1719" s="239"/>
      <c r="G1719" s="239"/>
      <c r="H1719" s="239"/>
    </row>
    <row r="1720" spans="1:8" ht="18" customHeight="1">
      <c r="A1720" s="239"/>
      <c r="B1720" s="239"/>
      <c r="C1720" s="239"/>
      <c r="D1720" s="239"/>
      <c r="E1720" s="239"/>
      <c r="F1720" s="239"/>
      <c r="G1720" s="239"/>
      <c r="H1720" s="239"/>
    </row>
    <row r="1721" spans="1:8" ht="18" customHeight="1">
      <c r="A1721" s="239"/>
      <c r="B1721" s="239"/>
      <c r="C1721" s="239"/>
      <c r="D1721" s="239"/>
      <c r="E1721" s="239"/>
      <c r="F1721" s="239"/>
      <c r="G1721" s="239"/>
      <c r="H1721" s="239"/>
    </row>
    <row r="1722" spans="1:8" ht="18" customHeight="1">
      <c r="A1722" s="239"/>
      <c r="B1722" s="239"/>
      <c r="C1722" s="239"/>
      <c r="D1722" s="239"/>
      <c r="E1722" s="239"/>
      <c r="F1722" s="239"/>
      <c r="G1722" s="239"/>
      <c r="H1722" s="239"/>
    </row>
    <row r="1723" spans="1:8" ht="18" customHeight="1">
      <c r="A1723" s="239"/>
      <c r="B1723" s="239"/>
      <c r="C1723" s="239"/>
      <c r="D1723" s="239"/>
      <c r="E1723" s="239"/>
      <c r="F1723" s="239"/>
      <c r="G1723" s="239"/>
      <c r="H1723" s="239"/>
    </row>
    <row r="1724" spans="1:8" ht="18" customHeight="1">
      <c r="A1724" s="239"/>
      <c r="B1724" s="239"/>
      <c r="C1724" s="239"/>
      <c r="D1724" s="239"/>
      <c r="E1724" s="239"/>
      <c r="F1724" s="239"/>
      <c r="G1724" s="239"/>
      <c r="H1724" s="239"/>
    </row>
    <row r="1725" spans="1:8" ht="18" customHeight="1">
      <c r="A1725" s="239"/>
      <c r="B1725" s="239"/>
      <c r="C1725" s="239"/>
      <c r="D1725" s="239"/>
      <c r="E1725" s="239"/>
      <c r="F1725" s="239"/>
      <c r="G1725" s="239"/>
      <c r="H1725" s="239"/>
    </row>
    <row r="1726" spans="1:8" ht="18" customHeight="1">
      <c r="A1726" s="239"/>
      <c r="B1726" s="239"/>
      <c r="C1726" s="239"/>
      <c r="D1726" s="239"/>
      <c r="E1726" s="239"/>
      <c r="F1726" s="239"/>
      <c r="G1726" s="239"/>
      <c r="H1726" s="239"/>
    </row>
    <row r="1727" spans="1:8" ht="18" customHeight="1">
      <c r="A1727" s="239"/>
      <c r="B1727" s="239"/>
      <c r="C1727" s="239"/>
      <c r="D1727" s="239"/>
      <c r="E1727" s="239"/>
      <c r="F1727" s="239"/>
      <c r="G1727" s="239"/>
      <c r="H1727" s="239"/>
    </row>
    <row r="1728" spans="1:8" ht="18" customHeight="1">
      <c r="A1728" s="239"/>
      <c r="B1728" s="239"/>
      <c r="C1728" s="239"/>
      <c r="D1728" s="239"/>
      <c r="E1728" s="239"/>
      <c r="F1728" s="239"/>
      <c r="G1728" s="239"/>
      <c r="H1728" s="239"/>
    </row>
    <row r="1729" spans="1:8" ht="18" customHeight="1">
      <c r="A1729" s="239"/>
      <c r="B1729" s="239"/>
      <c r="C1729" s="239"/>
      <c r="D1729" s="239"/>
      <c r="E1729" s="239"/>
      <c r="F1729" s="239"/>
      <c r="G1729" s="239"/>
      <c r="H1729" s="239"/>
    </row>
    <row r="1730" spans="1:8" ht="18" customHeight="1">
      <c r="A1730" s="239"/>
      <c r="B1730" s="239"/>
      <c r="C1730" s="239"/>
      <c r="D1730" s="239"/>
      <c r="E1730" s="239"/>
      <c r="F1730" s="239"/>
      <c r="G1730" s="239"/>
      <c r="H1730" s="239"/>
    </row>
    <row r="1731" spans="1:8" ht="18" customHeight="1">
      <c r="A1731" s="239"/>
      <c r="B1731" s="239"/>
      <c r="C1731" s="239"/>
      <c r="D1731" s="239"/>
      <c r="E1731" s="239"/>
      <c r="F1731" s="239"/>
      <c r="G1731" s="239"/>
      <c r="H1731" s="239"/>
    </row>
    <row r="1732" spans="1:8" ht="18" customHeight="1">
      <c r="A1732" s="239"/>
      <c r="B1732" s="239"/>
      <c r="C1732" s="239"/>
      <c r="D1732" s="239"/>
      <c r="E1732" s="239"/>
      <c r="F1732" s="239"/>
      <c r="G1732" s="239"/>
      <c r="H1732" s="239"/>
    </row>
    <row r="1733" spans="1:8" ht="18" customHeight="1">
      <c r="A1733" s="239"/>
      <c r="B1733" s="239"/>
      <c r="C1733" s="239"/>
      <c r="D1733" s="239"/>
      <c r="E1733" s="239"/>
      <c r="F1733" s="239"/>
      <c r="G1733" s="239"/>
      <c r="H1733" s="239"/>
    </row>
    <row r="1734" spans="1:8" ht="18" customHeight="1">
      <c r="A1734" s="239"/>
      <c r="B1734" s="239"/>
      <c r="C1734" s="239"/>
      <c r="D1734" s="239"/>
      <c r="E1734" s="239"/>
      <c r="F1734" s="239"/>
      <c r="G1734" s="239"/>
      <c r="H1734" s="239"/>
    </row>
    <row r="1735" spans="1:8" ht="18" customHeight="1">
      <c r="A1735" s="239"/>
      <c r="B1735" s="239"/>
      <c r="C1735" s="239"/>
      <c r="D1735" s="239"/>
      <c r="E1735" s="239"/>
      <c r="F1735" s="239"/>
      <c r="G1735" s="239"/>
      <c r="H1735" s="239"/>
    </row>
    <row r="1736" spans="1:8" ht="18" customHeight="1">
      <c r="A1736" s="239"/>
      <c r="B1736" s="239"/>
      <c r="C1736" s="239"/>
      <c r="D1736" s="239"/>
      <c r="E1736" s="239"/>
      <c r="F1736" s="239"/>
      <c r="G1736" s="239"/>
      <c r="H1736" s="239"/>
    </row>
    <row r="1737" spans="1:8" ht="18" customHeight="1">
      <c r="A1737" s="239"/>
      <c r="B1737" s="239"/>
      <c r="C1737" s="239"/>
      <c r="D1737" s="239"/>
      <c r="E1737" s="239"/>
      <c r="F1737" s="239"/>
      <c r="G1737" s="239"/>
      <c r="H1737" s="239"/>
    </row>
    <row r="1738" spans="1:8" ht="18" customHeight="1">
      <c r="A1738" s="239"/>
      <c r="B1738" s="239"/>
      <c r="C1738" s="239"/>
      <c r="D1738" s="239"/>
      <c r="E1738" s="239"/>
      <c r="F1738" s="239"/>
      <c r="G1738" s="239"/>
      <c r="H1738" s="239"/>
    </row>
    <row r="1739" spans="1:8" ht="18" customHeight="1">
      <c r="A1739" s="239"/>
      <c r="B1739" s="239"/>
      <c r="C1739" s="239"/>
      <c r="D1739" s="239"/>
      <c r="E1739" s="239"/>
      <c r="F1739" s="239"/>
      <c r="G1739" s="239"/>
      <c r="H1739" s="239"/>
    </row>
    <row r="1740" spans="1:8" ht="18" customHeight="1">
      <c r="A1740" s="239"/>
      <c r="B1740" s="239"/>
      <c r="C1740" s="239"/>
      <c r="D1740" s="239"/>
      <c r="E1740" s="239"/>
      <c r="F1740" s="239"/>
      <c r="G1740" s="239"/>
      <c r="H1740" s="239"/>
    </row>
    <row r="1741" spans="1:8" ht="18" customHeight="1">
      <c r="A1741" s="239"/>
      <c r="B1741" s="239"/>
      <c r="C1741" s="239"/>
      <c r="D1741" s="239"/>
      <c r="E1741" s="239"/>
      <c r="F1741" s="239"/>
      <c r="G1741" s="239"/>
      <c r="H1741" s="239"/>
    </row>
    <row r="1742" spans="1:8" ht="18" customHeight="1">
      <c r="A1742" s="239"/>
      <c r="B1742" s="239"/>
      <c r="C1742" s="239"/>
      <c r="D1742" s="239"/>
      <c r="E1742" s="239"/>
      <c r="F1742" s="239"/>
      <c r="G1742" s="239"/>
      <c r="H1742" s="239"/>
    </row>
    <row r="1743" spans="1:8" ht="18" customHeight="1">
      <c r="A1743" s="239"/>
      <c r="B1743" s="239"/>
      <c r="C1743" s="239"/>
      <c r="D1743" s="239"/>
      <c r="E1743" s="239"/>
      <c r="F1743" s="239"/>
      <c r="G1743" s="239"/>
      <c r="H1743" s="239"/>
    </row>
    <row r="1744" spans="1:8" ht="18" customHeight="1">
      <c r="A1744" s="239"/>
      <c r="B1744" s="239"/>
      <c r="C1744" s="239"/>
      <c r="D1744" s="239"/>
      <c r="E1744" s="239"/>
      <c r="F1744" s="239"/>
      <c r="G1744" s="239"/>
      <c r="H1744" s="239"/>
    </row>
    <row r="1745" spans="1:8" ht="18" customHeight="1">
      <c r="A1745" s="239"/>
      <c r="B1745" s="239"/>
      <c r="C1745" s="239"/>
      <c r="D1745" s="239"/>
      <c r="E1745" s="239"/>
      <c r="F1745" s="239"/>
      <c r="G1745" s="239"/>
      <c r="H1745" s="239"/>
    </row>
    <row r="1746" spans="1:8" ht="18" customHeight="1">
      <c r="A1746" s="239"/>
      <c r="B1746" s="239"/>
      <c r="C1746" s="239"/>
      <c r="D1746" s="239"/>
      <c r="E1746" s="239"/>
      <c r="F1746" s="239"/>
      <c r="G1746" s="239"/>
      <c r="H1746" s="239"/>
    </row>
    <row r="1747" spans="1:8" ht="18" customHeight="1">
      <c r="A1747" s="239"/>
      <c r="B1747" s="239"/>
      <c r="C1747" s="239"/>
      <c r="D1747" s="239"/>
      <c r="E1747" s="239"/>
      <c r="F1747" s="239"/>
      <c r="G1747" s="239"/>
      <c r="H1747" s="239"/>
    </row>
    <row r="1748" spans="1:8" ht="18" customHeight="1">
      <c r="A1748" s="239"/>
      <c r="B1748" s="239"/>
      <c r="C1748" s="239"/>
      <c r="D1748" s="239"/>
      <c r="E1748" s="239"/>
      <c r="F1748" s="239"/>
      <c r="G1748" s="239"/>
      <c r="H1748" s="239"/>
    </row>
    <row r="1749" spans="1:8" ht="18" customHeight="1">
      <c r="A1749" s="239"/>
      <c r="B1749" s="239"/>
      <c r="C1749" s="239"/>
      <c r="D1749" s="239"/>
      <c r="E1749" s="239"/>
      <c r="F1749" s="239"/>
      <c r="G1749" s="239"/>
      <c r="H1749" s="239"/>
    </row>
    <row r="1750" spans="1:8" ht="18" customHeight="1">
      <c r="A1750" s="239"/>
      <c r="B1750" s="239"/>
      <c r="C1750" s="239"/>
      <c r="D1750" s="239"/>
      <c r="E1750" s="239"/>
      <c r="F1750" s="239"/>
      <c r="G1750" s="239"/>
      <c r="H1750" s="239"/>
    </row>
    <row r="1751" spans="1:8" ht="18" customHeight="1">
      <c r="A1751" s="239"/>
      <c r="B1751" s="239"/>
      <c r="C1751" s="239"/>
      <c r="D1751" s="239"/>
      <c r="E1751" s="239"/>
      <c r="F1751" s="239"/>
      <c r="G1751" s="239"/>
      <c r="H1751" s="239"/>
    </row>
    <row r="1752" spans="1:8" ht="18" customHeight="1">
      <c r="A1752" s="239"/>
      <c r="B1752" s="239"/>
      <c r="C1752" s="239"/>
      <c r="D1752" s="239"/>
      <c r="E1752" s="239"/>
      <c r="F1752" s="239"/>
      <c r="G1752" s="239"/>
      <c r="H1752" s="239"/>
    </row>
    <row r="1753" spans="1:8" ht="18" customHeight="1">
      <c r="A1753" s="239"/>
      <c r="B1753" s="239"/>
      <c r="C1753" s="239"/>
      <c r="D1753" s="239"/>
      <c r="E1753" s="239"/>
      <c r="F1753" s="239"/>
      <c r="G1753" s="239"/>
      <c r="H1753" s="239"/>
    </row>
    <row r="1754" spans="1:8" ht="18" customHeight="1">
      <c r="A1754" s="239"/>
      <c r="B1754" s="239"/>
      <c r="C1754" s="239"/>
      <c r="D1754" s="239"/>
      <c r="E1754" s="239"/>
      <c r="F1754" s="239"/>
      <c r="G1754" s="239"/>
      <c r="H1754" s="239"/>
    </row>
    <row r="1755" spans="1:8" ht="18" customHeight="1">
      <c r="A1755" s="239"/>
      <c r="B1755" s="239"/>
      <c r="C1755" s="239"/>
      <c r="D1755" s="239"/>
      <c r="E1755" s="239"/>
      <c r="F1755" s="239"/>
      <c r="G1755" s="239"/>
      <c r="H1755" s="239"/>
    </row>
    <row r="1756" spans="1:8" ht="18" customHeight="1">
      <c r="A1756" s="239"/>
      <c r="B1756" s="239"/>
      <c r="C1756" s="239"/>
      <c r="D1756" s="239"/>
      <c r="E1756" s="239"/>
      <c r="F1756" s="239"/>
      <c r="G1756" s="239"/>
      <c r="H1756" s="239"/>
    </row>
    <row r="1757" spans="1:8" ht="18" customHeight="1">
      <c r="A1757" s="239"/>
      <c r="B1757" s="239"/>
      <c r="C1757" s="239"/>
      <c r="D1757" s="239"/>
      <c r="E1757" s="239"/>
      <c r="F1757" s="239"/>
      <c r="G1757" s="239"/>
      <c r="H1757" s="239"/>
    </row>
    <row r="1758" spans="1:8" ht="18" customHeight="1">
      <c r="A1758" s="239"/>
      <c r="B1758" s="239"/>
      <c r="C1758" s="239"/>
      <c r="D1758" s="239"/>
      <c r="E1758" s="239"/>
      <c r="F1758" s="239"/>
      <c r="G1758" s="239"/>
      <c r="H1758" s="239"/>
    </row>
    <row r="1759" spans="1:8" ht="18" customHeight="1">
      <c r="A1759" s="239"/>
      <c r="B1759" s="239"/>
      <c r="C1759" s="239"/>
      <c r="D1759" s="239"/>
      <c r="E1759" s="239"/>
      <c r="F1759" s="239"/>
      <c r="G1759" s="239"/>
      <c r="H1759" s="239"/>
    </row>
    <row r="1760" spans="1:8" ht="18" customHeight="1">
      <c r="A1760" s="239"/>
      <c r="B1760" s="239"/>
      <c r="C1760" s="239"/>
      <c r="D1760" s="239"/>
      <c r="E1760" s="239"/>
      <c r="F1760" s="239"/>
      <c r="G1760" s="239"/>
      <c r="H1760" s="239"/>
    </row>
    <row r="1761" spans="1:8" ht="18" customHeight="1">
      <c r="A1761" s="239"/>
      <c r="B1761" s="239"/>
      <c r="C1761" s="239"/>
      <c r="D1761" s="239"/>
      <c r="E1761" s="239"/>
      <c r="F1761" s="239"/>
      <c r="G1761" s="239"/>
      <c r="H1761" s="239"/>
    </row>
    <row r="1762" spans="1:8" ht="18" customHeight="1">
      <c r="A1762" s="239"/>
      <c r="B1762" s="239"/>
      <c r="C1762" s="239"/>
      <c r="D1762" s="239"/>
      <c r="E1762" s="239"/>
      <c r="F1762" s="239"/>
      <c r="G1762" s="239"/>
      <c r="H1762" s="239"/>
    </row>
    <row r="1763" spans="1:8" ht="18" customHeight="1">
      <c r="A1763" s="239"/>
      <c r="B1763" s="239"/>
      <c r="C1763" s="239"/>
      <c r="D1763" s="239"/>
      <c r="E1763" s="239"/>
      <c r="F1763" s="239"/>
      <c r="G1763" s="239"/>
      <c r="H1763" s="239"/>
    </row>
    <row r="1764" spans="1:8" ht="18" customHeight="1">
      <c r="A1764" s="239"/>
      <c r="B1764" s="239"/>
      <c r="C1764" s="239"/>
      <c r="D1764" s="239"/>
      <c r="E1764" s="239"/>
      <c r="F1764" s="239"/>
      <c r="G1764" s="239"/>
      <c r="H1764" s="239"/>
    </row>
    <row r="1765" spans="1:8" ht="18" customHeight="1">
      <c r="A1765" s="239"/>
      <c r="B1765" s="239"/>
      <c r="C1765" s="239"/>
      <c r="D1765" s="239"/>
      <c r="E1765" s="239"/>
      <c r="F1765" s="239"/>
      <c r="G1765" s="239"/>
      <c r="H1765" s="239"/>
    </row>
    <row r="1766" spans="1:8" ht="18" customHeight="1">
      <c r="A1766" s="239"/>
      <c r="B1766" s="239"/>
      <c r="C1766" s="239"/>
      <c r="D1766" s="239"/>
      <c r="E1766" s="239"/>
      <c r="F1766" s="239"/>
      <c r="G1766" s="239"/>
      <c r="H1766" s="239"/>
    </row>
    <row r="1767" spans="1:8" ht="18" customHeight="1">
      <c r="A1767" s="239"/>
      <c r="B1767" s="239"/>
      <c r="C1767" s="239"/>
      <c r="D1767" s="239"/>
      <c r="E1767" s="239"/>
      <c r="F1767" s="239"/>
      <c r="G1767" s="239"/>
      <c r="H1767" s="239"/>
    </row>
    <row r="1768" spans="1:8" ht="18" customHeight="1">
      <c r="A1768" s="239"/>
      <c r="B1768" s="239"/>
      <c r="C1768" s="239"/>
      <c r="D1768" s="239"/>
      <c r="E1768" s="239"/>
      <c r="F1768" s="239"/>
      <c r="G1768" s="239"/>
      <c r="H1768" s="239"/>
    </row>
    <row r="1769" spans="1:8" ht="18" customHeight="1">
      <c r="A1769" s="239"/>
      <c r="B1769" s="239"/>
      <c r="C1769" s="239"/>
      <c r="D1769" s="239"/>
      <c r="E1769" s="239"/>
      <c r="F1769" s="239"/>
      <c r="G1769" s="239"/>
      <c r="H1769" s="239"/>
    </row>
    <row r="1770" spans="1:8" ht="18" customHeight="1">
      <c r="A1770" s="239"/>
      <c r="B1770" s="239"/>
      <c r="C1770" s="239"/>
      <c r="D1770" s="239"/>
      <c r="E1770" s="239"/>
      <c r="F1770" s="239"/>
      <c r="G1770" s="239"/>
      <c r="H1770" s="239"/>
    </row>
    <row r="1771" spans="1:8" ht="18" customHeight="1">
      <c r="A1771" s="239"/>
      <c r="B1771" s="239"/>
      <c r="C1771" s="239"/>
      <c r="D1771" s="239"/>
      <c r="E1771" s="239"/>
      <c r="F1771" s="239"/>
      <c r="G1771" s="239"/>
      <c r="H1771" s="239"/>
    </row>
    <row r="1772" spans="1:8" ht="18" customHeight="1">
      <c r="A1772" s="239"/>
      <c r="B1772" s="239"/>
      <c r="C1772" s="239"/>
      <c r="D1772" s="239"/>
      <c r="E1772" s="239"/>
      <c r="F1772" s="239"/>
      <c r="G1772" s="239"/>
      <c r="H1772" s="239"/>
    </row>
    <row r="1773" spans="1:8" ht="18" customHeight="1">
      <c r="A1773" s="239"/>
      <c r="B1773" s="239"/>
      <c r="C1773" s="239"/>
      <c r="D1773" s="239"/>
      <c r="E1773" s="239"/>
      <c r="F1773" s="239"/>
      <c r="G1773" s="239"/>
      <c r="H1773" s="239"/>
    </row>
    <row r="1774" spans="1:8" ht="18" customHeight="1">
      <c r="A1774" s="239"/>
      <c r="B1774" s="239"/>
      <c r="C1774" s="239"/>
      <c r="D1774" s="239"/>
      <c r="E1774" s="239"/>
      <c r="F1774" s="239"/>
      <c r="G1774" s="239"/>
      <c r="H1774" s="239"/>
    </row>
    <row r="1775" spans="1:8" ht="18" customHeight="1">
      <c r="A1775" s="239"/>
      <c r="B1775" s="239"/>
      <c r="C1775" s="239"/>
      <c r="D1775" s="239"/>
      <c r="E1775" s="239"/>
      <c r="F1775" s="239"/>
      <c r="G1775" s="239"/>
      <c r="H1775" s="239"/>
    </row>
    <row r="1776" spans="1:8" ht="18" customHeight="1">
      <c r="A1776" s="239"/>
      <c r="B1776" s="239"/>
      <c r="C1776" s="239"/>
      <c r="D1776" s="239"/>
      <c r="E1776" s="239"/>
      <c r="F1776" s="239"/>
      <c r="G1776" s="239"/>
      <c r="H1776" s="239"/>
    </row>
    <row r="1777" spans="1:8" ht="18" customHeight="1">
      <c r="A1777" s="239"/>
      <c r="B1777" s="239"/>
      <c r="C1777" s="239"/>
      <c r="D1777" s="239"/>
      <c r="E1777" s="239"/>
      <c r="F1777" s="239"/>
      <c r="G1777" s="239"/>
      <c r="H1777" s="239"/>
    </row>
    <row r="1778" spans="1:8" ht="18" customHeight="1">
      <c r="A1778" s="239"/>
      <c r="B1778" s="239"/>
      <c r="C1778" s="239"/>
      <c r="D1778" s="239"/>
      <c r="E1778" s="239"/>
      <c r="F1778" s="239"/>
      <c r="G1778" s="239"/>
      <c r="H1778" s="239"/>
    </row>
    <row r="1779" spans="1:8" ht="18" customHeight="1">
      <c r="A1779" s="239"/>
      <c r="B1779" s="239"/>
      <c r="C1779" s="239"/>
      <c r="D1779" s="239"/>
      <c r="E1779" s="239"/>
      <c r="F1779" s="239"/>
      <c r="G1779" s="239"/>
      <c r="H1779" s="239"/>
    </row>
    <row r="1780" spans="1:8" ht="18" customHeight="1">
      <c r="A1780" s="239"/>
      <c r="B1780" s="239"/>
      <c r="C1780" s="239"/>
      <c r="D1780" s="239"/>
      <c r="E1780" s="239"/>
      <c r="F1780" s="239"/>
      <c r="G1780" s="239"/>
      <c r="H1780" s="239"/>
    </row>
    <row r="1781" spans="1:8" ht="18" customHeight="1">
      <c r="A1781" s="239"/>
      <c r="B1781" s="239"/>
      <c r="C1781" s="239"/>
      <c r="D1781" s="239"/>
      <c r="E1781" s="239"/>
      <c r="F1781" s="239"/>
      <c r="G1781" s="239"/>
      <c r="H1781" s="239"/>
    </row>
    <row r="1782" spans="1:8" ht="18" customHeight="1">
      <c r="A1782" s="239"/>
      <c r="B1782" s="239"/>
      <c r="C1782" s="239"/>
      <c r="D1782" s="239"/>
      <c r="E1782" s="239"/>
      <c r="F1782" s="239"/>
      <c r="G1782" s="239"/>
      <c r="H1782" s="239"/>
    </row>
    <row r="1783" spans="1:8" ht="18" customHeight="1">
      <c r="A1783" s="239"/>
      <c r="B1783" s="239"/>
      <c r="C1783" s="239"/>
      <c r="D1783" s="239"/>
      <c r="E1783" s="239"/>
      <c r="F1783" s="239"/>
      <c r="G1783" s="239"/>
      <c r="H1783" s="239"/>
    </row>
    <row r="1784" spans="1:8" ht="18" customHeight="1">
      <c r="A1784" s="239"/>
      <c r="B1784" s="239"/>
      <c r="C1784" s="239"/>
      <c r="D1784" s="239"/>
      <c r="E1784" s="239"/>
      <c r="F1784" s="239"/>
      <c r="G1784" s="239"/>
      <c r="H1784" s="239"/>
    </row>
    <row r="1785" spans="1:8" ht="18" customHeight="1">
      <c r="A1785" s="239"/>
      <c r="B1785" s="239"/>
      <c r="C1785" s="239"/>
      <c r="D1785" s="239"/>
      <c r="E1785" s="239"/>
      <c r="F1785" s="239"/>
      <c r="G1785" s="239"/>
      <c r="H1785" s="239"/>
    </row>
    <row r="1786" spans="1:8" ht="18" customHeight="1">
      <c r="A1786" s="239"/>
      <c r="B1786" s="239"/>
      <c r="C1786" s="239"/>
      <c r="D1786" s="239"/>
      <c r="E1786" s="239"/>
      <c r="F1786" s="239"/>
      <c r="G1786" s="239"/>
      <c r="H1786" s="239"/>
    </row>
    <row r="1787" spans="1:8" ht="18" customHeight="1">
      <c r="A1787" s="239"/>
      <c r="B1787" s="239"/>
      <c r="C1787" s="239"/>
      <c r="D1787" s="239"/>
      <c r="E1787" s="239"/>
      <c r="F1787" s="239"/>
      <c r="G1787" s="239"/>
      <c r="H1787" s="239"/>
    </row>
    <row r="1788" spans="1:8" ht="18" customHeight="1">
      <c r="A1788" s="239"/>
      <c r="B1788" s="239"/>
      <c r="C1788" s="239"/>
      <c r="D1788" s="239"/>
      <c r="E1788" s="239"/>
      <c r="F1788" s="239"/>
      <c r="G1788" s="239"/>
      <c r="H1788" s="239"/>
    </row>
    <row r="1789" spans="1:8" ht="18" customHeight="1">
      <c r="A1789" s="239"/>
      <c r="B1789" s="239"/>
      <c r="C1789" s="239"/>
      <c r="D1789" s="239"/>
      <c r="E1789" s="239"/>
      <c r="F1789" s="239"/>
      <c r="G1789" s="239"/>
      <c r="H1789" s="239"/>
    </row>
    <row r="1790" spans="1:8" ht="18" customHeight="1">
      <c r="A1790" s="239"/>
      <c r="B1790" s="239"/>
      <c r="C1790" s="239"/>
      <c r="D1790" s="239"/>
      <c r="E1790" s="239"/>
      <c r="F1790" s="239"/>
      <c r="G1790" s="239"/>
      <c r="H1790" s="239"/>
    </row>
    <row r="1791" spans="1:8" ht="18" customHeight="1">
      <c r="A1791" s="239"/>
      <c r="B1791" s="239"/>
      <c r="C1791" s="239"/>
      <c r="D1791" s="239"/>
      <c r="E1791" s="239"/>
      <c r="F1791" s="239"/>
      <c r="G1791" s="239"/>
      <c r="H1791" s="239"/>
    </row>
    <row r="1792" spans="1:8" ht="18" customHeight="1">
      <c r="A1792" s="239"/>
      <c r="B1792" s="239"/>
      <c r="C1792" s="239"/>
      <c r="D1792" s="239"/>
      <c r="E1792" s="239"/>
      <c r="F1792" s="239"/>
      <c r="G1792" s="239"/>
      <c r="H1792" s="239"/>
    </row>
    <row r="1793" spans="1:8" ht="18" customHeight="1">
      <c r="A1793" s="239"/>
      <c r="B1793" s="239"/>
      <c r="C1793" s="239"/>
      <c r="D1793" s="239"/>
      <c r="E1793" s="239"/>
      <c r="F1793" s="239"/>
      <c r="G1793" s="239"/>
      <c r="H1793" s="239"/>
    </row>
    <row r="1794" spans="1:8" ht="18" customHeight="1">
      <c r="A1794" s="239"/>
      <c r="B1794" s="239"/>
      <c r="C1794" s="239"/>
      <c r="D1794" s="239"/>
      <c r="E1794" s="239"/>
      <c r="F1794" s="239"/>
      <c r="G1794" s="239"/>
      <c r="H1794" s="239"/>
    </row>
    <row r="1795" spans="1:8" ht="18" customHeight="1">
      <c r="A1795" s="239"/>
      <c r="B1795" s="239"/>
      <c r="C1795" s="239"/>
      <c r="D1795" s="239"/>
      <c r="E1795" s="239"/>
      <c r="F1795" s="239"/>
      <c r="G1795" s="239"/>
      <c r="H1795" s="239"/>
    </row>
    <row r="1796" spans="1:8" ht="18" customHeight="1">
      <c r="A1796" s="239"/>
      <c r="B1796" s="239"/>
      <c r="C1796" s="239"/>
      <c r="D1796" s="239"/>
      <c r="E1796" s="239"/>
      <c r="F1796" s="239"/>
      <c r="G1796" s="239"/>
      <c r="H1796" s="239"/>
    </row>
    <row r="1797" spans="1:8" ht="18" customHeight="1">
      <c r="A1797" s="239"/>
      <c r="B1797" s="239"/>
      <c r="C1797" s="239"/>
      <c r="D1797" s="239"/>
      <c r="E1797" s="239"/>
      <c r="F1797" s="239"/>
      <c r="G1797" s="239"/>
      <c r="H1797" s="239"/>
    </row>
    <row r="1798" spans="1:8" ht="18" customHeight="1">
      <c r="A1798" s="239"/>
      <c r="B1798" s="239"/>
      <c r="C1798" s="239"/>
      <c r="D1798" s="239"/>
      <c r="E1798" s="239"/>
      <c r="F1798" s="239"/>
      <c r="G1798" s="239"/>
      <c r="H1798" s="239"/>
    </row>
    <row r="1799" spans="1:8" ht="18" customHeight="1">
      <c r="A1799" s="239"/>
      <c r="B1799" s="239"/>
      <c r="C1799" s="239"/>
      <c r="D1799" s="239"/>
      <c r="E1799" s="239"/>
      <c r="F1799" s="239"/>
      <c r="G1799" s="239"/>
      <c r="H1799" s="239"/>
    </row>
    <row r="1800" spans="1:8" ht="18" customHeight="1">
      <c r="A1800" s="239"/>
      <c r="B1800" s="239"/>
      <c r="C1800" s="239"/>
      <c r="D1800" s="239"/>
      <c r="E1800" s="239"/>
      <c r="F1800" s="239"/>
      <c r="G1800" s="239"/>
      <c r="H1800" s="239"/>
    </row>
    <row r="1801" spans="1:8" ht="18" customHeight="1">
      <c r="A1801" s="239"/>
      <c r="B1801" s="239"/>
      <c r="C1801" s="239"/>
      <c r="D1801" s="239"/>
      <c r="E1801" s="239"/>
      <c r="F1801" s="239"/>
      <c r="G1801" s="239"/>
      <c r="H1801" s="239"/>
    </row>
    <row r="1802" spans="1:8" ht="18" customHeight="1">
      <c r="A1802" s="239"/>
      <c r="B1802" s="239"/>
      <c r="C1802" s="239"/>
      <c r="D1802" s="239"/>
      <c r="E1802" s="239"/>
      <c r="F1802" s="239"/>
      <c r="G1802" s="239"/>
      <c r="H1802" s="239"/>
    </row>
    <row r="1803" spans="1:8" ht="18" customHeight="1">
      <c r="A1803" s="239"/>
      <c r="B1803" s="239"/>
      <c r="C1803" s="239"/>
      <c r="D1803" s="239"/>
      <c r="E1803" s="239"/>
      <c r="F1803" s="239"/>
      <c r="G1803" s="239"/>
      <c r="H1803" s="239"/>
    </row>
    <row r="1804" spans="1:8" ht="18" customHeight="1">
      <c r="A1804" s="239"/>
      <c r="B1804" s="239"/>
      <c r="C1804" s="239"/>
      <c r="D1804" s="239"/>
      <c r="E1804" s="239"/>
      <c r="F1804" s="239"/>
      <c r="G1804" s="239"/>
      <c r="H1804" s="239"/>
    </row>
    <row r="1805" spans="1:8" ht="18" customHeight="1">
      <c r="A1805" s="239"/>
      <c r="B1805" s="239"/>
      <c r="C1805" s="239"/>
      <c r="D1805" s="239"/>
      <c r="E1805" s="239"/>
      <c r="F1805" s="239"/>
      <c r="G1805" s="239"/>
      <c r="H1805" s="239"/>
    </row>
    <row r="1806" spans="1:8" ht="18" customHeight="1">
      <c r="A1806" s="239"/>
      <c r="B1806" s="239"/>
      <c r="C1806" s="239"/>
      <c r="D1806" s="239"/>
      <c r="E1806" s="239"/>
      <c r="F1806" s="239"/>
      <c r="G1806" s="239"/>
      <c r="H1806" s="239"/>
    </row>
    <row r="1807" spans="1:8" ht="18" customHeight="1">
      <c r="A1807" s="239"/>
      <c r="B1807" s="239"/>
      <c r="C1807" s="239"/>
      <c r="D1807" s="239"/>
      <c r="E1807" s="239"/>
      <c r="F1807" s="239"/>
      <c r="G1807" s="239"/>
      <c r="H1807" s="239"/>
    </row>
    <row r="1808" spans="1:8" ht="18" customHeight="1">
      <c r="A1808" s="239"/>
      <c r="B1808" s="239"/>
      <c r="C1808" s="239"/>
      <c r="D1808" s="239"/>
      <c r="E1808" s="239"/>
      <c r="F1808" s="239"/>
      <c r="G1808" s="239"/>
      <c r="H1808" s="239"/>
    </row>
    <row r="1809" spans="1:8" ht="18" customHeight="1">
      <c r="A1809" s="239"/>
      <c r="B1809" s="239"/>
      <c r="C1809" s="239"/>
      <c r="D1809" s="239"/>
      <c r="E1809" s="239"/>
      <c r="F1809" s="239"/>
      <c r="G1809" s="239"/>
      <c r="H1809" s="239"/>
    </row>
    <row r="1810" spans="1:8" ht="18" customHeight="1">
      <c r="A1810" s="239"/>
      <c r="B1810" s="239"/>
      <c r="C1810" s="239"/>
      <c r="D1810" s="239"/>
      <c r="E1810" s="239"/>
      <c r="F1810" s="239"/>
      <c r="G1810" s="239"/>
      <c r="H1810" s="239"/>
    </row>
    <row r="1811" spans="1:8" ht="18" customHeight="1">
      <c r="A1811" s="239"/>
      <c r="B1811" s="239"/>
      <c r="C1811" s="239"/>
      <c r="D1811" s="239"/>
      <c r="E1811" s="239"/>
      <c r="F1811" s="239"/>
      <c r="G1811" s="239"/>
      <c r="H1811" s="239"/>
    </row>
    <row r="1812" spans="1:8" ht="18" customHeight="1">
      <c r="A1812" s="239"/>
      <c r="B1812" s="239"/>
      <c r="C1812" s="239"/>
      <c r="D1812" s="239"/>
      <c r="E1812" s="239"/>
      <c r="F1812" s="239"/>
      <c r="G1812" s="239"/>
      <c r="H1812" s="239"/>
    </row>
    <row r="1813" spans="1:8" ht="18" customHeight="1">
      <c r="A1813" s="239"/>
      <c r="B1813" s="239"/>
      <c r="C1813" s="239"/>
      <c r="D1813" s="239"/>
      <c r="E1813" s="239"/>
      <c r="F1813" s="239"/>
      <c r="G1813" s="239"/>
      <c r="H1813" s="239"/>
    </row>
    <row r="1814" spans="1:8" ht="18" customHeight="1">
      <c r="A1814" s="239"/>
      <c r="B1814" s="239"/>
      <c r="C1814" s="239"/>
      <c r="D1814" s="239"/>
      <c r="E1814" s="239"/>
      <c r="F1814" s="239"/>
      <c r="G1814" s="239"/>
      <c r="H1814" s="239"/>
    </row>
    <row r="1815" spans="1:8" ht="18" customHeight="1">
      <c r="A1815" s="239"/>
      <c r="B1815" s="239"/>
      <c r="C1815" s="239"/>
      <c r="D1815" s="239"/>
      <c r="E1815" s="239"/>
      <c r="F1815" s="239"/>
      <c r="G1815" s="239"/>
      <c r="H1815" s="239"/>
    </row>
    <row r="1816" spans="1:8" ht="18" customHeight="1">
      <c r="A1816" s="239"/>
      <c r="B1816" s="239"/>
      <c r="C1816" s="239"/>
      <c r="D1816" s="239"/>
      <c r="E1816" s="239"/>
      <c r="F1816" s="239"/>
      <c r="G1816" s="239"/>
      <c r="H1816" s="239"/>
    </row>
    <row r="1817" spans="1:8" ht="18" customHeight="1">
      <c r="A1817" s="239"/>
      <c r="B1817" s="239"/>
      <c r="C1817" s="239"/>
      <c r="D1817" s="239"/>
      <c r="E1817" s="239"/>
      <c r="F1817" s="239"/>
      <c r="G1817" s="239"/>
      <c r="H1817" s="239"/>
    </row>
    <row r="1818" spans="1:8" ht="18" customHeight="1">
      <c r="A1818" s="239"/>
      <c r="B1818" s="239"/>
      <c r="C1818" s="239"/>
      <c r="D1818" s="239"/>
      <c r="E1818" s="239"/>
      <c r="F1818" s="239"/>
      <c r="G1818" s="239"/>
      <c r="H1818" s="239"/>
    </row>
    <row r="1819" spans="1:8" ht="18" customHeight="1">
      <c r="A1819" s="239"/>
      <c r="B1819" s="239"/>
      <c r="C1819" s="239"/>
      <c r="D1819" s="239"/>
      <c r="E1819" s="239"/>
      <c r="F1819" s="239"/>
      <c r="G1819" s="239"/>
      <c r="H1819" s="239"/>
    </row>
    <row r="1820" spans="1:8" ht="18" customHeight="1">
      <c r="A1820" s="239"/>
      <c r="B1820" s="239"/>
      <c r="C1820" s="239"/>
      <c r="D1820" s="239"/>
      <c r="E1820" s="239"/>
      <c r="F1820" s="239"/>
      <c r="G1820" s="239"/>
      <c r="H1820" s="239"/>
    </row>
    <row r="1821" spans="1:8" ht="18" customHeight="1">
      <c r="A1821" s="239"/>
      <c r="B1821" s="239"/>
      <c r="C1821" s="239"/>
      <c r="D1821" s="239"/>
      <c r="E1821" s="239"/>
      <c r="F1821" s="239"/>
      <c r="G1821" s="239"/>
      <c r="H1821" s="239"/>
    </row>
    <row r="1822" spans="1:8" ht="18" customHeight="1">
      <c r="A1822" s="239"/>
      <c r="B1822" s="239"/>
      <c r="C1822" s="239"/>
      <c r="D1822" s="239"/>
      <c r="E1822" s="239"/>
      <c r="F1822" s="239"/>
      <c r="G1822" s="239"/>
      <c r="H1822" s="239"/>
    </row>
    <row r="1823" spans="1:8" ht="18" customHeight="1">
      <c r="A1823" s="239"/>
      <c r="B1823" s="239"/>
      <c r="C1823" s="239"/>
      <c r="D1823" s="239"/>
      <c r="E1823" s="239"/>
      <c r="F1823" s="239"/>
      <c r="G1823" s="239"/>
      <c r="H1823" s="239"/>
    </row>
    <row r="1824" spans="1:8" ht="18" customHeight="1">
      <c r="A1824" s="239"/>
      <c r="B1824" s="239"/>
      <c r="C1824" s="239"/>
      <c r="D1824" s="239"/>
      <c r="E1824" s="239"/>
      <c r="F1824" s="239"/>
      <c r="G1824" s="239"/>
      <c r="H1824" s="239"/>
    </row>
    <row r="1825" spans="1:8" ht="18" customHeight="1">
      <c r="A1825" s="239"/>
      <c r="B1825" s="239"/>
      <c r="C1825" s="239"/>
      <c r="D1825" s="239"/>
      <c r="E1825" s="239"/>
      <c r="F1825" s="239"/>
      <c r="G1825" s="239"/>
      <c r="H1825" s="239"/>
    </row>
    <row r="1826" spans="1:8" ht="18" customHeight="1">
      <c r="A1826" s="239"/>
      <c r="B1826" s="239"/>
      <c r="C1826" s="239"/>
      <c r="D1826" s="239"/>
      <c r="E1826" s="239"/>
      <c r="F1826" s="239"/>
      <c r="G1826" s="239"/>
      <c r="H1826" s="239"/>
    </row>
    <row r="1827" spans="1:8" ht="18" customHeight="1">
      <c r="A1827" s="239"/>
      <c r="B1827" s="239"/>
      <c r="C1827" s="239"/>
      <c r="D1827" s="239"/>
      <c r="E1827" s="239"/>
      <c r="F1827" s="239"/>
      <c r="G1827" s="239"/>
      <c r="H1827" s="239"/>
    </row>
    <row r="1828" spans="1:8" ht="18" customHeight="1">
      <c r="A1828" s="239"/>
      <c r="B1828" s="239"/>
      <c r="C1828" s="239"/>
      <c r="D1828" s="239"/>
      <c r="E1828" s="239"/>
      <c r="F1828" s="239"/>
      <c r="G1828" s="239"/>
      <c r="H1828" s="239"/>
    </row>
    <row r="1829" spans="1:8" ht="18" customHeight="1">
      <c r="A1829" s="239"/>
      <c r="B1829" s="239"/>
      <c r="C1829" s="239"/>
      <c r="D1829" s="239"/>
      <c r="E1829" s="239"/>
      <c r="F1829" s="239"/>
      <c r="G1829" s="239"/>
      <c r="H1829" s="239"/>
    </row>
    <row r="1830" spans="1:8" ht="18" customHeight="1">
      <c r="A1830" s="239"/>
      <c r="B1830" s="239"/>
      <c r="C1830" s="239"/>
      <c r="D1830" s="239"/>
      <c r="E1830" s="239"/>
      <c r="F1830" s="239"/>
      <c r="G1830" s="239"/>
      <c r="H1830" s="239"/>
    </row>
    <row r="1831" spans="1:8" ht="18" customHeight="1">
      <c r="A1831" s="239"/>
      <c r="B1831" s="239"/>
      <c r="C1831" s="239"/>
      <c r="D1831" s="239"/>
      <c r="E1831" s="239"/>
      <c r="F1831" s="239"/>
      <c r="G1831" s="239"/>
      <c r="H1831" s="239"/>
    </row>
    <row r="1832" spans="1:8" ht="18" customHeight="1">
      <c r="A1832" s="239"/>
      <c r="B1832" s="239"/>
      <c r="C1832" s="239"/>
      <c r="D1832" s="239"/>
      <c r="E1832" s="239"/>
      <c r="F1832" s="239"/>
      <c r="G1832" s="239"/>
      <c r="H1832" s="239"/>
    </row>
    <row r="1833" spans="1:8" ht="18" customHeight="1">
      <c r="A1833" s="239"/>
      <c r="B1833" s="239"/>
      <c r="C1833" s="239"/>
      <c r="D1833" s="239"/>
      <c r="E1833" s="239"/>
      <c r="F1833" s="239"/>
      <c r="G1833" s="239"/>
      <c r="H1833" s="239"/>
    </row>
    <row r="1834" spans="1:8" ht="18" customHeight="1">
      <c r="A1834" s="239"/>
      <c r="B1834" s="239"/>
      <c r="C1834" s="239"/>
      <c r="D1834" s="239"/>
      <c r="E1834" s="239"/>
      <c r="F1834" s="239"/>
      <c r="G1834" s="239"/>
      <c r="H1834" s="239"/>
    </row>
    <row r="1835" spans="1:8" ht="18" customHeight="1">
      <c r="A1835" s="239"/>
      <c r="B1835" s="239"/>
      <c r="C1835" s="239"/>
      <c r="D1835" s="239"/>
      <c r="E1835" s="239"/>
      <c r="F1835" s="239"/>
      <c r="G1835" s="239"/>
      <c r="H1835" s="239"/>
    </row>
    <row r="1836" spans="1:8" ht="18" customHeight="1">
      <c r="A1836" s="239"/>
      <c r="B1836" s="239"/>
      <c r="C1836" s="239"/>
      <c r="D1836" s="239"/>
      <c r="E1836" s="239"/>
      <c r="F1836" s="239"/>
      <c r="G1836" s="239"/>
      <c r="H1836" s="239"/>
    </row>
    <row r="1837" spans="1:8" ht="18" customHeight="1">
      <c r="A1837" s="239"/>
      <c r="B1837" s="239"/>
      <c r="C1837" s="239"/>
      <c r="D1837" s="239"/>
      <c r="E1837" s="239"/>
      <c r="F1837" s="239"/>
      <c r="G1837" s="239"/>
      <c r="H1837" s="239"/>
    </row>
    <row r="1838" spans="1:8" ht="18" customHeight="1">
      <c r="A1838" s="239"/>
      <c r="B1838" s="239"/>
      <c r="C1838" s="239"/>
      <c r="D1838" s="239"/>
      <c r="E1838" s="239"/>
      <c r="F1838" s="239"/>
      <c r="G1838" s="239"/>
      <c r="H1838" s="239"/>
    </row>
    <row r="1839" spans="1:8" ht="18" customHeight="1">
      <c r="A1839" s="239"/>
      <c r="B1839" s="239"/>
      <c r="C1839" s="239"/>
      <c r="D1839" s="239"/>
      <c r="E1839" s="239"/>
      <c r="F1839" s="239"/>
      <c r="G1839" s="239"/>
      <c r="H1839" s="239"/>
    </row>
    <row r="1840" spans="1:8" ht="18" customHeight="1">
      <c r="A1840" s="239"/>
      <c r="B1840" s="239"/>
      <c r="C1840" s="239"/>
      <c r="D1840" s="239"/>
      <c r="E1840" s="239"/>
      <c r="F1840" s="239"/>
      <c r="G1840" s="239"/>
      <c r="H1840" s="239"/>
    </row>
    <row r="1841" spans="1:8" ht="18" customHeight="1">
      <c r="A1841" s="239"/>
      <c r="B1841" s="239"/>
      <c r="C1841" s="239"/>
      <c r="D1841" s="239"/>
      <c r="E1841" s="239"/>
      <c r="F1841" s="239"/>
      <c r="G1841" s="239"/>
      <c r="H1841" s="239"/>
    </row>
    <row r="1842" spans="1:8" ht="18" customHeight="1">
      <c r="A1842" s="239"/>
      <c r="B1842" s="239"/>
      <c r="C1842" s="239"/>
      <c r="D1842" s="239"/>
      <c r="E1842" s="239"/>
      <c r="F1842" s="239"/>
      <c r="G1842" s="239"/>
      <c r="H1842" s="239"/>
    </row>
    <row r="1843" spans="1:8" ht="18" customHeight="1">
      <c r="A1843" s="239"/>
      <c r="B1843" s="239"/>
      <c r="C1843" s="239"/>
      <c r="D1843" s="239"/>
      <c r="E1843" s="239"/>
      <c r="F1843" s="239"/>
      <c r="G1843" s="239"/>
      <c r="H1843" s="239"/>
    </row>
    <row r="1844" spans="1:8" ht="18" customHeight="1">
      <c r="A1844" s="239"/>
      <c r="B1844" s="239"/>
      <c r="C1844" s="239"/>
      <c r="D1844" s="239"/>
      <c r="E1844" s="239"/>
      <c r="F1844" s="239"/>
      <c r="G1844" s="239"/>
      <c r="H1844" s="239"/>
    </row>
    <row r="1845" spans="1:8" ht="18" customHeight="1">
      <c r="A1845" s="239"/>
      <c r="B1845" s="239"/>
      <c r="C1845" s="239"/>
      <c r="D1845" s="239"/>
      <c r="E1845" s="239"/>
      <c r="F1845" s="239"/>
      <c r="G1845" s="239"/>
      <c r="H1845" s="239"/>
    </row>
    <row r="1846" spans="1:8" ht="18" customHeight="1">
      <c r="A1846" s="239"/>
      <c r="B1846" s="239"/>
      <c r="C1846" s="239"/>
      <c r="D1846" s="239"/>
      <c r="E1846" s="239"/>
      <c r="F1846" s="239"/>
      <c r="G1846" s="239"/>
      <c r="H1846" s="239"/>
    </row>
    <row r="1847" spans="1:8" ht="18" customHeight="1">
      <c r="A1847" s="239"/>
      <c r="B1847" s="239"/>
      <c r="C1847" s="239"/>
      <c r="D1847" s="239"/>
      <c r="E1847" s="239"/>
      <c r="F1847" s="239"/>
      <c r="G1847" s="239"/>
      <c r="H1847" s="239"/>
    </row>
    <row r="1848" spans="1:8" ht="18" customHeight="1">
      <c r="A1848" s="239"/>
      <c r="B1848" s="239"/>
      <c r="C1848" s="239"/>
      <c r="D1848" s="239"/>
      <c r="E1848" s="239"/>
      <c r="F1848" s="239"/>
      <c r="G1848" s="239"/>
      <c r="H1848" s="239"/>
    </row>
    <row r="1849" spans="1:8" ht="18" customHeight="1">
      <c r="A1849" s="239"/>
      <c r="B1849" s="239"/>
      <c r="C1849" s="239"/>
      <c r="D1849" s="239"/>
      <c r="E1849" s="239"/>
      <c r="F1849" s="239"/>
      <c r="G1849" s="239"/>
      <c r="H1849" s="239"/>
    </row>
    <row r="1850" spans="1:8" ht="18" customHeight="1">
      <c r="A1850" s="239"/>
      <c r="B1850" s="239"/>
      <c r="C1850" s="239"/>
      <c r="D1850" s="239"/>
      <c r="E1850" s="239"/>
      <c r="F1850" s="239"/>
      <c r="G1850" s="239"/>
      <c r="H1850" s="239"/>
    </row>
    <row r="1851" spans="1:8" ht="18" customHeight="1">
      <c r="A1851" s="239"/>
      <c r="B1851" s="239"/>
      <c r="C1851" s="239"/>
      <c r="D1851" s="239"/>
      <c r="E1851" s="239"/>
      <c r="F1851" s="239"/>
      <c r="G1851" s="239"/>
      <c r="H1851" s="239"/>
    </row>
    <row r="1852" spans="1:8" ht="18" customHeight="1">
      <c r="A1852" s="239"/>
      <c r="B1852" s="239"/>
      <c r="C1852" s="239"/>
      <c r="D1852" s="239"/>
      <c r="E1852" s="239"/>
      <c r="F1852" s="239"/>
      <c r="G1852" s="239"/>
      <c r="H1852" s="239"/>
    </row>
    <row r="1853" spans="1:8" ht="18" customHeight="1">
      <c r="A1853" s="239"/>
      <c r="B1853" s="239"/>
      <c r="C1853" s="239"/>
      <c r="D1853" s="239"/>
      <c r="E1853" s="239"/>
      <c r="F1853" s="239"/>
      <c r="G1853" s="239"/>
      <c r="H1853" s="239"/>
    </row>
    <row r="1854" spans="1:8" ht="18" customHeight="1">
      <c r="A1854" s="239"/>
      <c r="B1854" s="239"/>
      <c r="C1854" s="239"/>
      <c r="D1854" s="239"/>
      <c r="E1854" s="239"/>
      <c r="F1854" s="239"/>
      <c r="G1854" s="239"/>
      <c r="H1854" s="239"/>
    </row>
    <row r="1855" spans="1:8" ht="18" customHeight="1">
      <c r="A1855" s="239"/>
      <c r="B1855" s="239"/>
      <c r="C1855" s="239"/>
      <c r="D1855" s="239"/>
      <c r="E1855" s="239"/>
      <c r="F1855" s="239"/>
      <c r="G1855" s="239"/>
      <c r="H1855" s="239"/>
    </row>
    <row r="1856" spans="1:8" ht="18" customHeight="1">
      <c r="A1856" s="239"/>
      <c r="B1856" s="239"/>
      <c r="C1856" s="239"/>
      <c r="D1856" s="239"/>
      <c r="E1856" s="239"/>
      <c r="F1856" s="239"/>
      <c r="G1856" s="239"/>
      <c r="H1856" s="239"/>
    </row>
    <row r="1857" spans="1:8" ht="18" customHeight="1">
      <c r="A1857" s="239"/>
      <c r="B1857" s="239"/>
      <c r="C1857" s="239"/>
      <c r="D1857" s="239"/>
      <c r="E1857" s="239"/>
      <c r="F1857" s="239"/>
      <c r="G1857" s="239"/>
      <c r="H1857" s="239"/>
    </row>
    <row r="1858" spans="1:8" ht="18" customHeight="1">
      <c r="A1858" s="239"/>
      <c r="B1858" s="239"/>
      <c r="C1858" s="239"/>
      <c r="D1858" s="239"/>
      <c r="E1858" s="239"/>
      <c r="F1858" s="239"/>
      <c r="G1858" s="239"/>
      <c r="H1858" s="239"/>
    </row>
    <row r="1859" spans="1:8" ht="18" customHeight="1">
      <c r="A1859" s="239"/>
      <c r="B1859" s="239"/>
      <c r="C1859" s="239"/>
      <c r="D1859" s="239"/>
      <c r="E1859" s="239"/>
      <c r="F1859" s="239"/>
      <c r="G1859" s="239"/>
      <c r="H1859" s="239"/>
    </row>
    <row r="1860" spans="1:8" ht="18" customHeight="1">
      <c r="A1860" s="239"/>
      <c r="B1860" s="239"/>
      <c r="C1860" s="239"/>
      <c r="D1860" s="239"/>
      <c r="E1860" s="239"/>
      <c r="F1860" s="239"/>
      <c r="G1860" s="239"/>
      <c r="H1860" s="239"/>
    </row>
    <row r="1861" spans="1:8" ht="18" customHeight="1">
      <c r="A1861" s="239"/>
      <c r="B1861" s="239"/>
      <c r="C1861" s="239"/>
      <c r="D1861" s="239"/>
      <c r="E1861" s="239"/>
      <c r="F1861" s="239"/>
      <c r="G1861" s="239"/>
      <c r="H1861" s="239"/>
    </row>
    <row r="1862" spans="1:8" ht="18" customHeight="1">
      <c r="A1862" s="239"/>
      <c r="B1862" s="239"/>
      <c r="C1862" s="239"/>
      <c r="D1862" s="239"/>
      <c r="E1862" s="239"/>
      <c r="F1862" s="239"/>
      <c r="G1862" s="239"/>
      <c r="H1862" s="239"/>
    </row>
    <row r="1863" spans="1:8" ht="18" customHeight="1">
      <c r="A1863" s="239"/>
      <c r="B1863" s="239"/>
      <c r="C1863" s="239"/>
      <c r="D1863" s="239"/>
      <c r="E1863" s="239"/>
      <c r="F1863" s="239"/>
      <c r="G1863" s="239"/>
      <c r="H1863" s="239"/>
    </row>
    <row r="1864" spans="1:8" ht="18" customHeight="1">
      <c r="A1864" s="239"/>
      <c r="B1864" s="239"/>
      <c r="C1864" s="239"/>
      <c r="D1864" s="239"/>
      <c r="E1864" s="239"/>
      <c r="F1864" s="239"/>
      <c r="G1864" s="239"/>
      <c r="H1864" s="239"/>
    </row>
    <row r="1865" spans="1:8" ht="18" customHeight="1">
      <c r="A1865" s="239"/>
      <c r="B1865" s="239"/>
      <c r="C1865" s="239"/>
      <c r="D1865" s="239"/>
      <c r="E1865" s="239"/>
      <c r="F1865" s="239"/>
      <c r="G1865" s="239"/>
      <c r="H1865" s="239"/>
    </row>
    <row r="1866" spans="1:8" ht="18" customHeight="1">
      <c r="A1866" s="239"/>
      <c r="B1866" s="239"/>
      <c r="C1866" s="239"/>
      <c r="D1866" s="239"/>
      <c r="E1866" s="239"/>
      <c r="F1866" s="239"/>
      <c r="G1866" s="239"/>
      <c r="H1866" s="239"/>
    </row>
    <row r="1867" spans="1:8" ht="18" customHeight="1">
      <c r="A1867" s="239"/>
      <c r="B1867" s="239"/>
      <c r="C1867" s="239"/>
      <c r="D1867" s="239"/>
      <c r="E1867" s="239"/>
      <c r="F1867" s="239"/>
      <c r="G1867" s="239"/>
      <c r="H1867" s="239"/>
    </row>
    <row r="1868" spans="1:8" ht="18" customHeight="1">
      <c r="A1868" s="239"/>
      <c r="B1868" s="239"/>
      <c r="C1868" s="239"/>
      <c r="D1868" s="239"/>
      <c r="E1868" s="239"/>
      <c r="F1868" s="239"/>
      <c r="G1868" s="239"/>
      <c r="H1868" s="239"/>
    </row>
    <row r="1869" spans="1:8" ht="18" customHeight="1">
      <c r="A1869" s="239"/>
      <c r="B1869" s="239"/>
      <c r="C1869" s="239"/>
      <c r="D1869" s="239"/>
      <c r="E1869" s="239"/>
      <c r="F1869" s="239"/>
      <c r="G1869" s="239"/>
      <c r="H1869" s="239"/>
    </row>
    <row r="1870" spans="1:8" ht="18" customHeight="1">
      <c r="A1870" s="239"/>
      <c r="B1870" s="239"/>
      <c r="C1870" s="239"/>
      <c r="D1870" s="239"/>
      <c r="E1870" s="239"/>
      <c r="F1870" s="239"/>
      <c r="G1870" s="239"/>
      <c r="H1870" s="239"/>
    </row>
    <row r="1871" spans="1:8" ht="18" customHeight="1">
      <c r="A1871" s="239"/>
      <c r="B1871" s="239"/>
      <c r="C1871" s="239"/>
      <c r="D1871" s="239"/>
      <c r="E1871" s="239"/>
      <c r="F1871" s="239"/>
      <c r="G1871" s="239"/>
      <c r="H1871" s="239"/>
    </row>
    <row r="1872" spans="1:8" ht="18" customHeight="1">
      <c r="A1872" s="239"/>
      <c r="B1872" s="239"/>
      <c r="C1872" s="239"/>
      <c r="D1872" s="239"/>
      <c r="E1872" s="239"/>
      <c r="F1872" s="239"/>
      <c r="G1872" s="239"/>
      <c r="H1872" s="239"/>
    </row>
    <row r="1873" spans="1:8" ht="18" customHeight="1">
      <c r="A1873" s="239"/>
      <c r="B1873" s="239"/>
      <c r="C1873" s="239"/>
      <c r="D1873" s="239"/>
      <c r="E1873" s="239"/>
      <c r="F1873" s="239"/>
      <c r="G1873" s="239"/>
      <c r="H1873" s="239"/>
    </row>
    <row r="1874" spans="1:8" ht="18" customHeight="1">
      <c r="A1874" s="239"/>
      <c r="B1874" s="239"/>
      <c r="C1874" s="239"/>
      <c r="D1874" s="239"/>
      <c r="E1874" s="239"/>
      <c r="F1874" s="239"/>
      <c r="G1874" s="239"/>
      <c r="H1874" s="239"/>
    </row>
    <row r="1875" spans="1:8" ht="18" customHeight="1">
      <c r="A1875" s="239"/>
      <c r="B1875" s="239"/>
      <c r="C1875" s="239"/>
      <c r="D1875" s="239"/>
      <c r="E1875" s="239"/>
      <c r="F1875" s="239"/>
      <c r="G1875" s="239"/>
      <c r="H1875" s="239"/>
    </row>
    <row r="1876" spans="1:8" ht="18" customHeight="1">
      <c r="A1876" s="239"/>
      <c r="B1876" s="239"/>
      <c r="C1876" s="239"/>
      <c r="D1876" s="239"/>
      <c r="E1876" s="239"/>
      <c r="F1876" s="239"/>
      <c r="G1876" s="239"/>
      <c r="H1876" s="239"/>
    </row>
    <row r="1877" spans="1:8" ht="18" customHeight="1">
      <c r="A1877" s="239"/>
      <c r="B1877" s="239"/>
      <c r="C1877" s="239"/>
      <c r="D1877" s="239"/>
      <c r="E1877" s="239"/>
      <c r="F1877" s="239"/>
      <c r="G1877" s="239"/>
      <c r="H1877" s="239"/>
    </row>
    <row r="1878" spans="1:8" ht="18" customHeight="1">
      <c r="A1878" s="239"/>
      <c r="B1878" s="239"/>
      <c r="C1878" s="239"/>
      <c r="D1878" s="239"/>
      <c r="E1878" s="239"/>
      <c r="F1878" s="239"/>
      <c r="G1878" s="239"/>
      <c r="H1878" s="239"/>
    </row>
    <row r="1879" spans="1:8" ht="18" customHeight="1">
      <c r="A1879" s="239"/>
      <c r="B1879" s="239"/>
      <c r="C1879" s="239"/>
      <c r="D1879" s="239"/>
      <c r="E1879" s="239"/>
      <c r="F1879" s="239"/>
      <c r="G1879" s="239"/>
      <c r="H1879" s="239"/>
    </row>
    <row r="1880" spans="1:8" ht="18" customHeight="1">
      <c r="A1880" s="239"/>
      <c r="B1880" s="239"/>
      <c r="C1880" s="239"/>
      <c r="D1880" s="239"/>
      <c r="E1880" s="239"/>
      <c r="F1880" s="239"/>
      <c r="G1880" s="239"/>
      <c r="H1880" s="239"/>
    </row>
    <row r="1881" spans="1:8" ht="18" customHeight="1">
      <c r="A1881" s="239"/>
      <c r="B1881" s="239"/>
      <c r="C1881" s="239"/>
      <c r="D1881" s="239"/>
      <c r="E1881" s="239"/>
      <c r="F1881" s="239"/>
      <c r="G1881" s="239"/>
      <c r="H1881" s="239"/>
    </row>
    <row r="1882" spans="1:8" ht="18" customHeight="1">
      <c r="A1882" s="239"/>
      <c r="B1882" s="239"/>
      <c r="C1882" s="239"/>
      <c r="D1882" s="239"/>
      <c r="E1882" s="239"/>
      <c r="F1882" s="239"/>
      <c r="G1882" s="239"/>
      <c r="H1882" s="239"/>
    </row>
    <row r="1883" spans="1:8" ht="18" customHeight="1">
      <c r="A1883" s="239"/>
      <c r="B1883" s="239"/>
      <c r="C1883" s="239"/>
      <c r="D1883" s="239"/>
      <c r="E1883" s="239"/>
      <c r="F1883" s="239"/>
      <c r="G1883" s="239"/>
      <c r="H1883" s="239"/>
    </row>
    <row r="1884" spans="1:8" ht="18" customHeight="1">
      <c r="A1884" s="239"/>
      <c r="B1884" s="239"/>
      <c r="C1884" s="239"/>
      <c r="D1884" s="239"/>
      <c r="E1884" s="239"/>
      <c r="F1884" s="239"/>
      <c r="G1884" s="239"/>
      <c r="H1884" s="239"/>
    </row>
    <row r="1885" spans="1:8" ht="18" customHeight="1">
      <c r="A1885" s="239"/>
      <c r="B1885" s="239"/>
      <c r="C1885" s="239"/>
      <c r="D1885" s="239"/>
      <c r="E1885" s="239"/>
      <c r="F1885" s="239"/>
      <c r="G1885" s="239"/>
      <c r="H1885" s="239"/>
    </row>
    <row r="1886" spans="1:8" ht="18" customHeight="1">
      <c r="A1886" s="239"/>
      <c r="B1886" s="239"/>
      <c r="C1886" s="239"/>
      <c r="D1886" s="239"/>
      <c r="E1886" s="239"/>
      <c r="F1886" s="239"/>
      <c r="G1886" s="239"/>
      <c r="H1886" s="239"/>
    </row>
    <row r="1887" spans="1:8" ht="18" customHeight="1">
      <c r="A1887" s="239"/>
      <c r="B1887" s="239"/>
      <c r="C1887" s="239"/>
      <c r="D1887" s="239"/>
      <c r="E1887" s="239"/>
      <c r="F1887" s="239"/>
      <c r="G1887" s="239"/>
      <c r="H1887" s="239"/>
    </row>
    <row r="1888" spans="1:8" ht="18" customHeight="1">
      <c r="A1888" s="239"/>
      <c r="B1888" s="239"/>
      <c r="C1888" s="239"/>
      <c r="D1888" s="239"/>
      <c r="E1888" s="239"/>
      <c r="F1888" s="239"/>
      <c r="G1888" s="239"/>
      <c r="H1888" s="239"/>
    </row>
    <row r="1889" spans="1:8" ht="18" customHeight="1">
      <c r="A1889" s="239"/>
      <c r="B1889" s="239"/>
      <c r="C1889" s="239"/>
      <c r="D1889" s="239"/>
      <c r="E1889" s="239"/>
      <c r="F1889" s="239"/>
      <c r="G1889" s="239"/>
      <c r="H1889" s="239"/>
    </row>
    <row r="1890" spans="1:8" ht="18" customHeight="1">
      <c r="A1890" s="239"/>
      <c r="B1890" s="239"/>
      <c r="C1890" s="239"/>
      <c r="D1890" s="239"/>
      <c r="E1890" s="239"/>
      <c r="F1890" s="239"/>
      <c r="G1890" s="239"/>
      <c r="H1890" s="239"/>
    </row>
    <row r="1891" spans="1:8" ht="18" customHeight="1">
      <c r="A1891" s="239"/>
      <c r="B1891" s="239"/>
      <c r="C1891" s="239"/>
      <c r="D1891" s="239"/>
      <c r="E1891" s="239"/>
      <c r="F1891" s="239"/>
      <c r="G1891" s="239"/>
      <c r="H1891" s="239"/>
    </row>
    <row r="1892" spans="1:8" ht="18" customHeight="1">
      <c r="A1892" s="239"/>
      <c r="B1892" s="239"/>
      <c r="C1892" s="239"/>
      <c r="D1892" s="239"/>
      <c r="E1892" s="239"/>
      <c r="F1892" s="239"/>
      <c r="G1892" s="239"/>
      <c r="H1892" s="239"/>
    </row>
    <row r="1893" spans="1:8" ht="18" customHeight="1">
      <c r="A1893" s="239"/>
      <c r="B1893" s="239"/>
      <c r="C1893" s="239"/>
      <c r="D1893" s="239"/>
      <c r="E1893" s="239"/>
      <c r="F1893" s="239"/>
      <c r="G1893" s="239"/>
      <c r="H1893" s="239"/>
    </row>
    <row r="1894" spans="1:8" ht="18" customHeight="1">
      <c r="A1894" s="239"/>
      <c r="B1894" s="239"/>
      <c r="C1894" s="239"/>
      <c r="D1894" s="239"/>
      <c r="E1894" s="239"/>
      <c r="F1894" s="239"/>
      <c r="G1894" s="239"/>
      <c r="H1894" s="239"/>
    </row>
    <row r="1895" spans="1:8" ht="18" customHeight="1">
      <c r="A1895" s="239"/>
      <c r="B1895" s="239"/>
      <c r="C1895" s="239"/>
      <c r="D1895" s="239"/>
      <c r="E1895" s="239"/>
      <c r="F1895" s="239"/>
      <c r="G1895" s="239"/>
      <c r="H1895" s="239"/>
    </row>
    <row r="1896" spans="1:8" ht="18" customHeight="1">
      <c r="A1896" s="239"/>
      <c r="B1896" s="239"/>
      <c r="C1896" s="239"/>
      <c r="D1896" s="239"/>
      <c r="E1896" s="239"/>
      <c r="F1896" s="239"/>
      <c r="G1896" s="239"/>
      <c r="H1896" s="239"/>
    </row>
    <row r="1897" spans="1:8" ht="18" customHeight="1">
      <c r="A1897" s="239"/>
      <c r="B1897" s="239"/>
      <c r="C1897" s="239"/>
      <c r="D1897" s="239"/>
      <c r="E1897" s="239"/>
      <c r="F1897" s="239"/>
      <c r="G1897" s="239"/>
      <c r="H1897" s="239"/>
    </row>
    <row r="1898" spans="1:8" ht="18" customHeight="1">
      <c r="A1898" s="239"/>
      <c r="B1898" s="239"/>
      <c r="C1898" s="239"/>
      <c r="D1898" s="239"/>
      <c r="E1898" s="239"/>
      <c r="F1898" s="239"/>
      <c r="G1898" s="239"/>
      <c r="H1898" s="239"/>
    </row>
    <row r="1899" spans="1:8" ht="18" customHeight="1">
      <c r="A1899" s="239"/>
      <c r="B1899" s="239"/>
      <c r="C1899" s="239"/>
      <c r="D1899" s="239"/>
      <c r="E1899" s="239"/>
      <c r="F1899" s="239"/>
      <c r="G1899" s="239"/>
      <c r="H1899" s="239"/>
    </row>
    <row r="1900" spans="1:8" ht="18" customHeight="1">
      <c r="A1900" s="239"/>
      <c r="B1900" s="239"/>
      <c r="C1900" s="239"/>
      <c r="D1900" s="239"/>
      <c r="E1900" s="239"/>
      <c r="F1900" s="239"/>
      <c r="G1900" s="239"/>
      <c r="H1900" s="239"/>
    </row>
    <row r="1901" spans="1:8" ht="18" customHeight="1">
      <c r="A1901" s="239"/>
      <c r="B1901" s="239"/>
      <c r="C1901" s="239"/>
      <c r="D1901" s="239"/>
      <c r="E1901" s="239"/>
      <c r="F1901" s="239"/>
      <c r="G1901" s="239"/>
      <c r="H1901" s="239"/>
    </row>
    <row r="1902" spans="1:8" ht="18" customHeight="1">
      <c r="A1902" s="239"/>
      <c r="B1902" s="239"/>
      <c r="C1902" s="239"/>
      <c r="D1902" s="239"/>
      <c r="E1902" s="239"/>
      <c r="F1902" s="239"/>
      <c r="G1902" s="239"/>
      <c r="H1902" s="239"/>
    </row>
    <row r="1903" spans="1:8" ht="18" customHeight="1">
      <c r="A1903" s="239"/>
      <c r="B1903" s="239"/>
      <c r="C1903" s="239"/>
      <c r="D1903" s="239"/>
      <c r="E1903" s="239"/>
      <c r="F1903" s="239"/>
      <c r="G1903" s="239"/>
      <c r="H1903" s="239"/>
    </row>
    <row r="1904" spans="1:8" ht="18" customHeight="1">
      <c r="A1904" s="239"/>
      <c r="B1904" s="239"/>
      <c r="C1904" s="239"/>
      <c r="D1904" s="239"/>
      <c r="E1904" s="239"/>
      <c r="F1904" s="239"/>
      <c r="G1904" s="239"/>
      <c r="H1904" s="239"/>
    </row>
    <row r="1905" spans="1:8" ht="18" customHeight="1">
      <c r="A1905" s="239"/>
      <c r="B1905" s="239"/>
      <c r="C1905" s="239"/>
      <c r="D1905" s="239"/>
      <c r="E1905" s="239"/>
      <c r="F1905" s="239"/>
      <c r="G1905" s="239"/>
      <c r="H1905" s="239"/>
    </row>
    <row r="1906" spans="1:8" ht="18" customHeight="1">
      <c r="A1906" s="239"/>
      <c r="B1906" s="239"/>
      <c r="C1906" s="239"/>
      <c r="D1906" s="239"/>
      <c r="E1906" s="239"/>
      <c r="F1906" s="239"/>
      <c r="G1906" s="239"/>
      <c r="H1906" s="239"/>
    </row>
    <row r="1907" spans="1:8" ht="18" customHeight="1">
      <c r="A1907" s="239"/>
      <c r="B1907" s="239"/>
      <c r="C1907" s="239"/>
      <c r="D1907" s="239"/>
      <c r="E1907" s="239"/>
      <c r="F1907" s="239"/>
      <c r="G1907" s="239"/>
      <c r="H1907" s="239"/>
    </row>
    <row r="1908" spans="1:8" ht="18" customHeight="1">
      <c r="A1908" s="239"/>
      <c r="B1908" s="239"/>
      <c r="C1908" s="239"/>
      <c r="D1908" s="239"/>
      <c r="E1908" s="239"/>
      <c r="F1908" s="239"/>
      <c r="G1908" s="239"/>
      <c r="H1908" s="239"/>
    </row>
    <row r="1909" spans="1:8" ht="18" customHeight="1">
      <c r="A1909" s="239"/>
      <c r="B1909" s="239"/>
      <c r="C1909" s="239"/>
      <c r="D1909" s="239"/>
      <c r="E1909" s="239"/>
      <c r="F1909" s="239"/>
      <c r="G1909" s="239"/>
      <c r="H1909" s="239"/>
    </row>
    <row r="1910" spans="1:8" ht="18" customHeight="1">
      <c r="A1910" s="239"/>
      <c r="B1910" s="239"/>
      <c r="C1910" s="239"/>
      <c r="D1910" s="239"/>
      <c r="E1910" s="239"/>
      <c r="F1910" s="239"/>
      <c r="G1910" s="239"/>
      <c r="H1910" s="239"/>
    </row>
    <row r="1911" spans="1:8" ht="18" customHeight="1">
      <c r="A1911" s="239"/>
      <c r="B1911" s="239"/>
      <c r="C1911" s="239"/>
      <c r="D1911" s="239"/>
      <c r="E1911" s="239"/>
      <c r="F1911" s="239"/>
      <c r="G1911" s="239"/>
      <c r="H1911" s="239"/>
    </row>
    <row r="1912" spans="1:8" ht="18" customHeight="1">
      <c r="A1912" s="239"/>
      <c r="B1912" s="239"/>
      <c r="C1912" s="239"/>
      <c r="D1912" s="239"/>
      <c r="E1912" s="239"/>
      <c r="F1912" s="239"/>
      <c r="G1912" s="239"/>
      <c r="H1912" s="239"/>
    </row>
    <row r="1913" spans="1:8" ht="18" customHeight="1">
      <c r="A1913" s="239"/>
      <c r="B1913" s="239"/>
      <c r="C1913" s="239"/>
      <c r="D1913" s="239"/>
      <c r="E1913" s="239"/>
      <c r="F1913" s="239"/>
      <c r="G1913" s="239"/>
      <c r="H1913" s="239"/>
    </row>
    <row r="1914" spans="1:8" ht="18" customHeight="1">
      <c r="A1914" s="239"/>
      <c r="B1914" s="239"/>
      <c r="C1914" s="239"/>
      <c r="D1914" s="239"/>
      <c r="E1914" s="239"/>
      <c r="F1914" s="239"/>
      <c r="G1914" s="239"/>
      <c r="H1914" s="239"/>
    </row>
    <row r="1915" spans="1:8" ht="18" customHeight="1">
      <c r="A1915" s="239"/>
      <c r="B1915" s="239"/>
      <c r="C1915" s="239"/>
      <c r="D1915" s="239"/>
      <c r="E1915" s="239"/>
      <c r="F1915" s="239"/>
      <c r="G1915" s="239"/>
      <c r="H1915" s="239"/>
    </row>
    <row r="1916" spans="1:8" ht="18" customHeight="1">
      <c r="A1916" s="239"/>
      <c r="B1916" s="239"/>
      <c r="C1916" s="239"/>
      <c r="D1916" s="239"/>
      <c r="E1916" s="239"/>
      <c r="F1916" s="239"/>
      <c r="G1916" s="239"/>
      <c r="H1916" s="239"/>
    </row>
    <row r="1917" spans="1:8" ht="18" customHeight="1">
      <c r="A1917" s="239"/>
      <c r="B1917" s="239"/>
      <c r="C1917" s="239"/>
      <c r="D1917" s="239"/>
      <c r="E1917" s="239"/>
      <c r="F1917" s="239"/>
      <c r="G1917" s="239"/>
      <c r="H1917" s="239"/>
    </row>
    <row r="1918" spans="1:8" ht="18" customHeight="1">
      <c r="A1918" s="239"/>
      <c r="B1918" s="239"/>
      <c r="C1918" s="239"/>
      <c r="D1918" s="239"/>
      <c r="E1918" s="239"/>
      <c r="F1918" s="239"/>
      <c r="G1918" s="239"/>
      <c r="H1918" s="239"/>
    </row>
    <row r="1919" spans="1:8" ht="18" customHeight="1">
      <c r="A1919" s="239"/>
      <c r="B1919" s="239"/>
      <c r="C1919" s="239"/>
      <c r="D1919" s="239"/>
      <c r="E1919" s="239"/>
      <c r="F1919" s="239"/>
      <c r="G1919" s="239"/>
      <c r="H1919" s="239"/>
    </row>
    <row r="1920" spans="1:8" ht="18" customHeight="1">
      <c r="A1920" s="239"/>
      <c r="B1920" s="239"/>
      <c r="C1920" s="239"/>
      <c r="D1920" s="239"/>
      <c r="E1920" s="239"/>
      <c r="F1920" s="239"/>
      <c r="G1920" s="239"/>
      <c r="H1920" s="239"/>
    </row>
    <row r="1921" spans="1:8" ht="18" customHeight="1">
      <c r="A1921" s="239"/>
      <c r="B1921" s="239"/>
      <c r="C1921" s="239"/>
      <c r="D1921" s="239"/>
      <c r="E1921" s="239"/>
      <c r="F1921" s="239"/>
      <c r="G1921" s="239"/>
      <c r="H1921" s="239"/>
    </row>
    <row r="1922" spans="1:8" ht="18" customHeight="1">
      <c r="A1922" s="239"/>
      <c r="B1922" s="239"/>
      <c r="C1922" s="239"/>
      <c r="D1922" s="239"/>
      <c r="E1922" s="239"/>
      <c r="F1922" s="239"/>
      <c r="G1922" s="239"/>
      <c r="H1922" s="239"/>
    </row>
    <row r="1923" spans="1:8" ht="18" customHeight="1">
      <c r="A1923" s="239"/>
      <c r="B1923" s="239"/>
      <c r="C1923" s="239"/>
      <c r="D1923" s="239"/>
      <c r="E1923" s="239"/>
      <c r="F1923" s="239"/>
      <c r="G1923" s="239"/>
      <c r="H1923" s="239"/>
    </row>
    <row r="1924" spans="1:8" ht="18" customHeight="1">
      <c r="A1924" s="239"/>
      <c r="B1924" s="239"/>
      <c r="C1924" s="239"/>
      <c r="D1924" s="239"/>
      <c r="E1924" s="239"/>
      <c r="F1924" s="239"/>
      <c r="G1924" s="239"/>
      <c r="H1924" s="239"/>
    </row>
    <row r="1925" spans="1:8" ht="18" customHeight="1">
      <c r="A1925" s="239"/>
      <c r="B1925" s="239"/>
      <c r="C1925" s="239"/>
      <c r="D1925" s="239"/>
      <c r="E1925" s="239"/>
      <c r="F1925" s="239"/>
      <c r="G1925" s="239"/>
      <c r="H1925" s="239"/>
    </row>
    <row r="1926" spans="1:8" ht="18" customHeight="1">
      <c r="A1926" s="239"/>
      <c r="B1926" s="239"/>
      <c r="C1926" s="239"/>
      <c r="D1926" s="239"/>
      <c r="E1926" s="239"/>
      <c r="F1926" s="239"/>
      <c r="G1926" s="239"/>
      <c r="H1926" s="239"/>
    </row>
    <row r="1927" spans="1:8" ht="18" customHeight="1">
      <c r="A1927" s="239"/>
      <c r="B1927" s="239"/>
      <c r="C1927" s="239"/>
      <c r="D1927" s="239"/>
      <c r="E1927" s="239"/>
      <c r="F1927" s="239"/>
      <c r="G1927" s="239"/>
      <c r="H1927" s="239"/>
    </row>
    <row r="1928" spans="1:8" ht="18" customHeight="1">
      <c r="A1928" s="239"/>
      <c r="B1928" s="239"/>
      <c r="C1928" s="239"/>
      <c r="D1928" s="239"/>
      <c r="E1928" s="239"/>
      <c r="F1928" s="239"/>
      <c r="G1928" s="239"/>
      <c r="H1928" s="239"/>
    </row>
    <row r="1929" spans="1:8" ht="18" customHeight="1">
      <c r="A1929" s="239"/>
      <c r="B1929" s="239"/>
      <c r="C1929" s="239"/>
      <c r="D1929" s="239"/>
      <c r="E1929" s="239"/>
      <c r="F1929" s="239"/>
      <c r="G1929" s="239"/>
      <c r="H1929" s="239"/>
    </row>
    <row r="1930" spans="1:8" ht="18" customHeight="1">
      <c r="A1930" s="239"/>
      <c r="B1930" s="239"/>
      <c r="C1930" s="239"/>
      <c r="D1930" s="239"/>
      <c r="E1930" s="239"/>
      <c r="F1930" s="239"/>
      <c r="G1930" s="239"/>
      <c r="H1930" s="239"/>
    </row>
    <row r="1931" spans="1:8" ht="18" customHeight="1">
      <c r="A1931" s="239"/>
      <c r="B1931" s="239"/>
      <c r="C1931" s="239"/>
      <c r="D1931" s="239"/>
      <c r="E1931" s="239"/>
      <c r="F1931" s="239"/>
      <c r="G1931" s="239"/>
      <c r="H1931" s="239"/>
    </row>
    <row r="1932" spans="1:8" ht="18" customHeight="1">
      <c r="A1932" s="239"/>
      <c r="B1932" s="239"/>
      <c r="C1932" s="239"/>
      <c r="D1932" s="239"/>
      <c r="E1932" s="239"/>
      <c r="F1932" s="239"/>
      <c r="G1932" s="239"/>
      <c r="H1932" s="239"/>
    </row>
    <row r="1933" spans="1:8" ht="18" customHeight="1">
      <c r="A1933" s="239"/>
      <c r="B1933" s="239"/>
      <c r="C1933" s="239"/>
      <c r="D1933" s="239"/>
      <c r="E1933" s="239"/>
      <c r="F1933" s="239"/>
      <c r="G1933" s="239"/>
      <c r="H1933" s="239"/>
    </row>
    <row r="1934" spans="1:8" ht="18" customHeight="1">
      <c r="A1934" s="239"/>
      <c r="B1934" s="239"/>
      <c r="C1934" s="239"/>
      <c r="D1934" s="239"/>
      <c r="E1934" s="239"/>
      <c r="F1934" s="239"/>
      <c r="G1934" s="239"/>
      <c r="H1934" s="239"/>
    </row>
    <row r="1935" spans="1:8" ht="18" customHeight="1">
      <c r="A1935" s="239"/>
      <c r="B1935" s="239"/>
      <c r="C1935" s="239"/>
      <c r="D1935" s="239"/>
      <c r="E1935" s="239"/>
      <c r="F1935" s="239"/>
      <c r="G1935" s="239"/>
      <c r="H1935" s="239"/>
    </row>
    <row r="1936" spans="1:8" ht="18" customHeight="1">
      <c r="A1936" s="239"/>
      <c r="B1936" s="239"/>
      <c r="C1936" s="239"/>
      <c r="D1936" s="239"/>
      <c r="E1936" s="239"/>
      <c r="F1936" s="239"/>
      <c r="G1936" s="239"/>
      <c r="H1936" s="239"/>
    </row>
    <row r="1937" spans="1:8" ht="18" customHeight="1">
      <c r="A1937" s="239"/>
      <c r="B1937" s="239"/>
      <c r="C1937" s="239"/>
      <c r="D1937" s="239"/>
      <c r="E1937" s="239"/>
      <c r="F1937" s="239"/>
      <c r="G1937" s="239"/>
      <c r="H1937" s="239"/>
    </row>
    <row r="1938" spans="1:8" ht="18" customHeight="1">
      <c r="A1938" s="239"/>
      <c r="B1938" s="239"/>
      <c r="C1938" s="239"/>
      <c r="D1938" s="239"/>
      <c r="E1938" s="239"/>
      <c r="F1938" s="239"/>
      <c r="G1938" s="239"/>
      <c r="H1938" s="239"/>
    </row>
    <row r="1939" spans="1:8" ht="18" customHeight="1">
      <c r="A1939" s="239"/>
      <c r="B1939" s="239"/>
      <c r="C1939" s="239"/>
      <c r="D1939" s="239"/>
      <c r="E1939" s="239"/>
      <c r="F1939" s="239"/>
      <c r="G1939" s="239"/>
      <c r="H1939" s="239"/>
    </row>
    <row r="1940" spans="1:8" ht="18" customHeight="1">
      <c r="A1940" s="239"/>
      <c r="B1940" s="239"/>
      <c r="C1940" s="239"/>
      <c r="D1940" s="239"/>
      <c r="E1940" s="239"/>
      <c r="F1940" s="239"/>
      <c r="G1940" s="239"/>
      <c r="H1940" s="239"/>
    </row>
    <row r="1941" spans="1:8" ht="18" customHeight="1">
      <c r="A1941" s="239"/>
      <c r="B1941" s="239"/>
      <c r="C1941" s="239"/>
      <c r="D1941" s="239"/>
      <c r="E1941" s="239"/>
      <c r="F1941" s="239"/>
      <c r="G1941" s="239"/>
      <c r="H1941" s="239"/>
    </row>
    <row r="1942" spans="1:8" ht="18" customHeight="1">
      <c r="A1942" s="239"/>
      <c r="B1942" s="239"/>
      <c r="C1942" s="239"/>
      <c r="D1942" s="239"/>
      <c r="E1942" s="239"/>
      <c r="F1942" s="239"/>
      <c r="G1942" s="239"/>
      <c r="H1942" s="239"/>
    </row>
    <row r="1943" spans="1:8" ht="18" customHeight="1">
      <c r="A1943" s="239"/>
      <c r="B1943" s="239"/>
      <c r="C1943" s="239"/>
      <c r="D1943" s="239"/>
      <c r="E1943" s="239"/>
      <c r="F1943" s="239"/>
      <c r="G1943" s="239"/>
      <c r="H1943" s="239"/>
    </row>
    <row r="1944" spans="1:8" ht="18" customHeight="1">
      <c r="A1944" s="239"/>
      <c r="B1944" s="239"/>
      <c r="C1944" s="239"/>
      <c r="D1944" s="239"/>
      <c r="E1944" s="239"/>
      <c r="F1944" s="239"/>
      <c r="G1944" s="239"/>
      <c r="H1944" s="239"/>
    </row>
    <row r="1945" spans="1:8" ht="18" customHeight="1">
      <c r="A1945" s="239"/>
      <c r="B1945" s="239"/>
      <c r="C1945" s="239"/>
      <c r="D1945" s="239"/>
      <c r="E1945" s="239"/>
      <c r="F1945" s="239"/>
      <c r="G1945" s="239"/>
      <c r="H1945" s="239"/>
    </row>
    <row r="1946" spans="1:8" ht="18" customHeight="1">
      <c r="A1946" s="239"/>
      <c r="B1946" s="239"/>
      <c r="C1946" s="239"/>
      <c r="D1946" s="239"/>
      <c r="E1946" s="239"/>
      <c r="F1946" s="239"/>
      <c r="G1946" s="239"/>
      <c r="H1946" s="239"/>
    </row>
    <row r="1947" spans="1:8" ht="18" customHeight="1">
      <c r="A1947" s="239"/>
      <c r="B1947" s="239"/>
      <c r="C1947" s="239"/>
      <c r="D1947" s="239"/>
      <c r="E1947" s="239"/>
      <c r="F1947" s="239"/>
      <c r="G1947" s="239"/>
      <c r="H1947" s="239"/>
    </row>
    <row r="1948" spans="1:8" ht="18" customHeight="1">
      <c r="A1948" s="239"/>
      <c r="B1948" s="239"/>
      <c r="C1948" s="239"/>
      <c r="D1948" s="239"/>
      <c r="E1948" s="239"/>
      <c r="F1948" s="239"/>
      <c r="G1948" s="239"/>
      <c r="H1948" s="239"/>
    </row>
    <row r="1949" spans="1:8" ht="18" customHeight="1">
      <c r="A1949" s="239"/>
      <c r="B1949" s="239"/>
      <c r="C1949" s="239"/>
      <c r="D1949" s="239"/>
      <c r="E1949" s="239"/>
      <c r="F1949" s="239"/>
      <c r="G1949" s="239"/>
      <c r="H1949" s="239"/>
    </row>
    <row r="1950" spans="1:8" ht="18" customHeight="1">
      <c r="A1950" s="239"/>
      <c r="B1950" s="239"/>
      <c r="C1950" s="239"/>
      <c r="D1950" s="239"/>
      <c r="E1950" s="239"/>
      <c r="F1950" s="239"/>
      <c r="G1950" s="239"/>
      <c r="H1950" s="239"/>
    </row>
    <row r="1951" spans="1:8" ht="18" customHeight="1">
      <c r="A1951" s="239"/>
      <c r="B1951" s="239"/>
      <c r="C1951" s="239"/>
      <c r="D1951" s="239"/>
      <c r="E1951" s="239"/>
      <c r="F1951" s="239"/>
      <c r="G1951" s="239"/>
      <c r="H1951" s="239"/>
    </row>
    <row r="1952" spans="1:8" ht="18" customHeight="1">
      <c r="A1952" s="239"/>
      <c r="B1952" s="239"/>
      <c r="C1952" s="239"/>
      <c r="D1952" s="239"/>
      <c r="E1952" s="239"/>
      <c r="F1952" s="239"/>
      <c r="G1952" s="239"/>
      <c r="H1952" s="239"/>
    </row>
    <row r="1953" spans="1:8" ht="18" customHeight="1">
      <c r="A1953" s="239"/>
      <c r="B1953" s="239"/>
      <c r="C1953" s="239"/>
      <c r="D1953" s="239"/>
      <c r="E1953" s="239"/>
      <c r="F1953" s="239"/>
      <c r="G1953" s="239"/>
      <c r="H1953" s="239"/>
    </row>
    <row r="1954" spans="1:8" ht="18" customHeight="1">
      <c r="A1954" s="239"/>
      <c r="B1954" s="239"/>
      <c r="C1954" s="239"/>
      <c r="D1954" s="239"/>
      <c r="E1954" s="239"/>
      <c r="F1954" s="239"/>
      <c r="G1954" s="239"/>
      <c r="H1954" s="239"/>
    </row>
    <row r="1955" spans="1:8" ht="18" customHeight="1">
      <c r="A1955" s="239"/>
      <c r="B1955" s="239"/>
      <c r="C1955" s="239"/>
      <c r="D1955" s="239"/>
      <c r="E1955" s="239"/>
      <c r="F1955" s="239"/>
      <c r="G1955" s="239"/>
      <c r="H1955" s="239"/>
    </row>
    <row r="1956" spans="1:8" ht="18" customHeight="1">
      <c r="A1956" s="239"/>
      <c r="B1956" s="239"/>
      <c r="C1956" s="239"/>
      <c r="D1956" s="239"/>
      <c r="E1956" s="239"/>
      <c r="F1956" s="239"/>
      <c r="G1956" s="239"/>
      <c r="H1956" s="239"/>
    </row>
    <row r="1957" spans="1:8" ht="18" customHeight="1">
      <c r="A1957" s="239"/>
      <c r="B1957" s="239"/>
      <c r="C1957" s="239"/>
      <c r="D1957" s="239"/>
      <c r="E1957" s="239"/>
      <c r="F1957" s="239"/>
      <c r="G1957" s="239"/>
      <c r="H1957" s="239"/>
    </row>
    <row r="1958" spans="1:8" ht="18" customHeight="1">
      <c r="A1958" s="239"/>
      <c r="B1958" s="239"/>
      <c r="C1958" s="239"/>
      <c r="D1958" s="239"/>
      <c r="E1958" s="239"/>
      <c r="F1958" s="239"/>
      <c r="G1958" s="239"/>
      <c r="H1958" s="239"/>
    </row>
    <row r="1959" spans="1:8" ht="18" customHeight="1">
      <c r="A1959" s="239"/>
      <c r="B1959" s="239"/>
      <c r="C1959" s="239"/>
      <c r="D1959" s="239"/>
      <c r="E1959" s="239"/>
      <c r="F1959" s="239"/>
      <c r="G1959" s="239"/>
      <c r="H1959" s="239"/>
    </row>
    <row r="1960" spans="1:8" ht="18" customHeight="1">
      <c r="A1960" s="239"/>
      <c r="B1960" s="239"/>
      <c r="C1960" s="239"/>
      <c r="D1960" s="239"/>
      <c r="E1960" s="239"/>
      <c r="F1960" s="239"/>
      <c r="G1960" s="239"/>
      <c r="H1960" s="239"/>
    </row>
    <row r="1961" spans="1:8" ht="18" customHeight="1">
      <c r="A1961" s="239"/>
      <c r="B1961" s="239"/>
      <c r="C1961" s="239"/>
      <c r="D1961" s="239"/>
      <c r="E1961" s="239"/>
      <c r="F1961" s="239"/>
      <c r="G1961" s="239"/>
      <c r="H1961" s="239"/>
    </row>
    <row r="1962" spans="1:8" ht="18" customHeight="1">
      <c r="A1962" s="239"/>
      <c r="B1962" s="239"/>
      <c r="C1962" s="239"/>
      <c r="D1962" s="239"/>
      <c r="E1962" s="239"/>
      <c r="F1962" s="239"/>
      <c r="G1962" s="239"/>
      <c r="H1962" s="239"/>
    </row>
    <row r="1963" spans="1:8" ht="18" customHeight="1">
      <c r="A1963" s="239"/>
      <c r="B1963" s="239"/>
      <c r="C1963" s="239"/>
      <c r="D1963" s="239"/>
      <c r="E1963" s="239"/>
      <c r="F1963" s="239"/>
      <c r="G1963" s="239"/>
      <c r="H1963" s="239"/>
    </row>
    <row r="1964" spans="1:8" ht="18" customHeight="1">
      <c r="A1964" s="239"/>
      <c r="B1964" s="239"/>
      <c r="C1964" s="239"/>
      <c r="D1964" s="239"/>
      <c r="E1964" s="239"/>
      <c r="F1964" s="239"/>
      <c r="G1964" s="239"/>
      <c r="H1964" s="239"/>
    </row>
    <row r="1965" spans="1:8" ht="18" customHeight="1">
      <c r="A1965" s="239"/>
      <c r="B1965" s="239"/>
      <c r="C1965" s="239"/>
      <c r="D1965" s="239"/>
      <c r="E1965" s="239"/>
      <c r="F1965" s="239"/>
      <c r="G1965" s="239"/>
      <c r="H1965" s="239"/>
    </row>
    <row r="1966" spans="1:8" ht="18" customHeight="1">
      <c r="A1966" s="239"/>
      <c r="B1966" s="239"/>
      <c r="C1966" s="239"/>
      <c r="D1966" s="239"/>
      <c r="E1966" s="239"/>
      <c r="F1966" s="239"/>
      <c r="G1966" s="239"/>
      <c r="H1966" s="239"/>
    </row>
    <row r="1967" spans="1:8" ht="18" customHeight="1">
      <c r="A1967" s="239"/>
      <c r="B1967" s="239"/>
      <c r="C1967" s="239"/>
      <c r="D1967" s="239"/>
      <c r="E1967" s="239"/>
      <c r="F1967" s="239"/>
      <c r="G1967" s="239"/>
      <c r="H1967" s="239"/>
    </row>
    <row r="1968" spans="1:8" ht="18" customHeight="1">
      <c r="A1968" s="239"/>
      <c r="B1968" s="239"/>
      <c r="C1968" s="239"/>
      <c r="D1968" s="239"/>
      <c r="E1968" s="239"/>
      <c r="F1968" s="239"/>
      <c r="G1968" s="239"/>
      <c r="H1968" s="239"/>
    </row>
    <row r="1969" spans="1:8" ht="18" customHeight="1">
      <c r="A1969" s="239"/>
      <c r="B1969" s="239"/>
      <c r="C1969" s="239"/>
      <c r="D1969" s="239"/>
      <c r="E1969" s="239"/>
      <c r="F1969" s="239"/>
      <c r="G1969" s="239"/>
      <c r="H1969" s="239"/>
    </row>
    <row r="1970" spans="1:8" ht="18" customHeight="1">
      <c r="A1970" s="239"/>
      <c r="B1970" s="239"/>
      <c r="C1970" s="239"/>
      <c r="D1970" s="239"/>
      <c r="E1970" s="239"/>
      <c r="F1970" s="239"/>
      <c r="G1970" s="239"/>
      <c r="H1970" s="239"/>
    </row>
    <row r="1971" spans="1:8" ht="18" customHeight="1">
      <c r="A1971" s="239"/>
      <c r="B1971" s="239"/>
      <c r="C1971" s="239"/>
      <c r="D1971" s="239"/>
      <c r="E1971" s="239"/>
      <c r="F1971" s="239"/>
      <c r="G1971" s="239"/>
      <c r="H1971" s="239"/>
    </row>
    <row r="1972" spans="1:8" ht="18" customHeight="1">
      <c r="A1972" s="239"/>
      <c r="B1972" s="239"/>
      <c r="C1972" s="239"/>
      <c r="D1972" s="239"/>
      <c r="E1972" s="239"/>
      <c r="F1972" s="239"/>
      <c r="G1972" s="239"/>
      <c r="H1972" s="239"/>
    </row>
    <row r="1973" spans="1:8" ht="18" customHeight="1">
      <c r="A1973" s="239"/>
      <c r="B1973" s="239"/>
      <c r="C1973" s="239"/>
      <c r="D1973" s="239"/>
      <c r="E1973" s="239"/>
      <c r="F1973" s="239"/>
      <c r="G1973" s="239"/>
      <c r="H1973" s="239"/>
    </row>
    <row r="1974" spans="1:8" ht="18" customHeight="1">
      <c r="A1974" s="239"/>
      <c r="B1974" s="239"/>
      <c r="C1974" s="239"/>
      <c r="D1974" s="239"/>
      <c r="E1974" s="239"/>
      <c r="F1974" s="239"/>
      <c r="G1974" s="239"/>
      <c r="H1974" s="239"/>
    </row>
    <row r="1975" spans="1:8" ht="18" customHeight="1">
      <c r="A1975" s="239"/>
      <c r="B1975" s="239"/>
      <c r="C1975" s="239"/>
      <c r="D1975" s="239"/>
      <c r="E1975" s="239"/>
      <c r="F1975" s="239"/>
      <c r="G1975" s="239"/>
      <c r="H1975" s="239"/>
    </row>
    <row r="1976" spans="1:8" ht="18" customHeight="1">
      <c r="A1976" s="239"/>
      <c r="B1976" s="239"/>
      <c r="C1976" s="239"/>
      <c r="D1976" s="239"/>
      <c r="E1976" s="239"/>
      <c r="F1976" s="239"/>
      <c r="G1976" s="239"/>
      <c r="H1976" s="239"/>
    </row>
    <row r="1977" spans="1:8" ht="18" customHeight="1">
      <c r="A1977" s="239"/>
      <c r="B1977" s="239"/>
      <c r="C1977" s="239"/>
      <c r="D1977" s="239"/>
      <c r="E1977" s="239"/>
      <c r="F1977" s="239"/>
      <c r="G1977" s="239"/>
      <c r="H1977" s="239"/>
    </row>
    <row r="1978" spans="1:8" ht="18" customHeight="1">
      <c r="A1978" s="239"/>
      <c r="B1978" s="239"/>
      <c r="C1978" s="239"/>
      <c r="D1978" s="239"/>
      <c r="E1978" s="239"/>
      <c r="F1978" s="239"/>
      <c r="G1978" s="239"/>
      <c r="H1978" s="239"/>
    </row>
    <row r="1979" spans="1:8" ht="18" customHeight="1">
      <c r="A1979" s="239"/>
      <c r="B1979" s="239"/>
      <c r="C1979" s="239"/>
      <c r="D1979" s="239"/>
      <c r="E1979" s="239"/>
      <c r="F1979" s="239"/>
      <c r="G1979" s="239"/>
      <c r="H1979" s="239"/>
    </row>
    <row r="1980" spans="1:8" ht="18" customHeight="1">
      <c r="A1980" s="239"/>
      <c r="B1980" s="239"/>
      <c r="C1980" s="239"/>
      <c r="D1980" s="239"/>
      <c r="E1980" s="239"/>
      <c r="F1980" s="239"/>
      <c r="G1980" s="239"/>
      <c r="H1980" s="239"/>
    </row>
    <row r="1981" spans="1:8" ht="18" customHeight="1">
      <c r="A1981" s="239"/>
      <c r="B1981" s="239"/>
      <c r="C1981" s="239"/>
      <c r="D1981" s="239"/>
      <c r="E1981" s="239"/>
      <c r="F1981" s="239"/>
      <c r="G1981" s="239"/>
      <c r="H1981" s="239"/>
    </row>
    <row r="1982" spans="1:8" ht="18" customHeight="1">
      <c r="A1982" s="239"/>
      <c r="B1982" s="239"/>
      <c r="C1982" s="239"/>
      <c r="D1982" s="239"/>
      <c r="E1982" s="239"/>
      <c r="F1982" s="239"/>
      <c r="G1982" s="239"/>
      <c r="H1982" s="239"/>
    </row>
    <row r="1983" spans="1:8" ht="18" customHeight="1">
      <c r="A1983" s="239"/>
      <c r="B1983" s="239"/>
      <c r="C1983" s="239"/>
      <c r="D1983" s="239"/>
      <c r="E1983" s="239"/>
      <c r="F1983" s="239"/>
      <c r="G1983" s="239"/>
      <c r="H1983" s="239"/>
    </row>
    <row r="1984" spans="1:8" ht="18" customHeight="1">
      <c r="A1984" s="239"/>
      <c r="B1984" s="239"/>
      <c r="C1984" s="239"/>
      <c r="D1984" s="239"/>
      <c r="E1984" s="239"/>
      <c r="F1984" s="239"/>
      <c r="G1984" s="239"/>
      <c r="H1984" s="239"/>
    </row>
    <row r="1985" spans="1:8" ht="18" customHeight="1">
      <c r="A1985" s="239"/>
      <c r="B1985" s="239"/>
      <c r="C1985" s="239"/>
      <c r="D1985" s="239"/>
      <c r="E1985" s="239"/>
      <c r="F1985" s="239"/>
      <c r="G1985" s="239"/>
      <c r="H1985" s="239"/>
    </row>
    <row r="1986" spans="1:8" ht="18" customHeight="1">
      <c r="A1986" s="239"/>
      <c r="B1986" s="239"/>
      <c r="C1986" s="239"/>
      <c r="D1986" s="239"/>
      <c r="E1986" s="239"/>
      <c r="F1986" s="239"/>
      <c r="G1986" s="239"/>
      <c r="H1986" s="239"/>
    </row>
    <row r="1987" spans="1:8" ht="18" customHeight="1">
      <c r="A1987" s="239"/>
      <c r="B1987" s="239"/>
      <c r="C1987" s="239"/>
      <c r="D1987" s="239"/>
      <c r="E1987" s="239"/>
      <c r="F1987" s="239"/>
      <c r="G1987" s="239"/>
      <c r="H1987" s="239"/>
    </row>
    <row r="1988" spans="1:8" ht="18" customHeight="1">
      <c r="A1988" s="239"/>
      <c r="B1988" s="239"/>
      <c r="C1988" s="239"/>
      <c r="D1988" s="239"/>
      <c r="E1988" s="239"/>
      <c r="F1988" s="239"/>
      <c r="G1988" s="239"/>
      <c r="H1988" s="239"/>
    </row>
    <row r="1989" spans="1:8" ht="18" customHeight="1">
      <c r="A1989" s="239"/>
      <c r="B1989" s="239"/>
      <c r="C1989" s="239"/>
      <c r="D1989" s="239"/>
      <c r="E1989" s="239"/>
      <c r="F1989" s="239"/>
      <c r="G1989" s="239"/>
      <c r="H1989" s="239"/>
    </row>
    <row r="1990" spans="1:8" ht="18" customHeight="1">
      <c r="A1990" s="239"/>
      <c r="B1990" s="239"/>
      <c r="C1990" s="239"/>
      <c r="D1990" s="239"/>
      <c r="E1990" s="239"/>
      <c r="F1990" s="239"/>
      <c r="G1990" s="239"/>
      <c r="H1990" s="239"/>
    </row>
    <row r="1991" spans="1:8" ht="18" customHeight="1">
      <c r="A1991" s="239"/>
      <c r="B1991" s="239"/>
      <c r="C1991" s="239"/>
      <c r="D1991" s="239"/>
      <c r="E1991" s="239"/>
      <c r="F1991" s="239"/>
      <c r="G1991" s="239"/>
      <c r="H1991" s="239"/>
    </row>
    <row r="1992" spans="1:8" ht="18" customHeight="1">
      <c r="A1992" s="239"/>
      <c r="B1992" s="239"/>
      <c r="C1992" s="239"/>
      <c r="D1992" s="239"/>
      <c r="E1992" s="239"/>
      <c r="F1992" s="239"/>
      <c r="G1992" s="239"/>
      <c r="H1992" s="239"/>
    </row>
    <row r="1993" spans="1:8" ht="18" customHeight="1">
      <c r="A1993" s="239"/>
      <c r="B1993" s="239"/>
      <c r="C1993" s="239"/>
      <c r="D1993" s="239"/>
      <c r="E1993" s="239"/>
      <c r="F1993" s="239"/>
      <c r="G1993" s="239"/>
      <c r="H1993" s="239"/>
    </row>
    <row r="1994" spans="1:8" ht="18" customHeight="1">
      <c r="A1994" s="239"/>
      <c r="B1994" s="239"/>
      <c r="C1994" s="239"/>
      <c r="D1994" s="239"/>
      <c r="E1994" s="239"/>
      <c r="F1994" s="239"/>
      <c r="G1994" s="239"/>
      <c r="H1994" s="239"/>
    </row>
    <row r="1995" spans="1:8" ht="18" customHeight="1">
      <c r="A1995" s="239"/>
      <c r="B1995" s="239"/>
      <c r="C1995" s="239"/>
      <c r="D1995" s="239"/>
      <c r="E1995" s="239"/>
      <c r="F1995" s="239"/>
      <c r="G1995" s="239"/>
      <c r="H1995" s="239"/>
    </row>
    <row r="1996" spans="1:8" ht="18" customHeight="1">
      <c r="A1996" s="239"/>
      <c r="B1996" s="239"/>
      <c r="C1996" s="239"/>
      <c r="D1996" s="239"/>
      <c r="E1996" s="239"/>
      <c r="F1996" s="239"/>
      <c r="G1996" s="239"/>
      <c r="H1996" s="239"/>
    </row>
    <row r="1997" spans="1:8" ht="18" customHeight="1">
      <c r="A1997" s="239"/>
      <c r="B1997" s="239"/>
      <c r="C1997" s="239"/>
      <c r="D1997" s="239"/>
      <c r="E1997" s="239"/>
      <c r="F1997" s="239"/>
      <c r="G1997" s="239"/>
      <c r="H1997" s="239"/>
    </row>
    <row r="1998" spans="1:8" ht="18" customHeight="1">
      <c r="A1998" s="239"/>
      <c r="B1998" s="239"/>
      <c r="C1998" s="239"/>
      <c r="D1998" s="239"/>
      <c r="E1998" s="239"/>
      <c r="F1998" s="239"/>
      <c r="G1998" s="239"/>
      <c r="H1998" s="239"/>
    </row>
    <row r="1999" spans="1:8" ht="18" customHeight="1">
      <c r="A1999" s="239"/>
      <c r="B1999" s="239"/>
      <c r="C1999" s="239"/>
      <c r="D1999" s="239"/>
      <c r="E1999" s="239"/>
      <c r="F1999" s="239"/>
      <c r="G1999" s="239"/>
      <c r="H1999" s="239"/>
    </row>
    <row r="2000" spans="1:8" ht="18" customHeight="1">
      <c r="A2000" s="239"/>
      <c r="B2000" s="239"/>
      <c r="C2000" s="239"/>
      <c r="D2000" s="239"/>
      <c r="E2000" s="239"/>
      <c r="F2000" s="239"/>
      <c r="G2000" s="239"/>
      <c r="H2000" s="239"/>
    </row>
  </sheetData>
  <mergeCells count="33">
    <mergeCell ref="E11:H11"/>
    <mergeCell ref="A17:D17"/>
    <mergeCell ref="E12:H12"/>
    <mergeCell ref="A33:H33"/>
    <mergeCell ref="A40:H40"/>
    <mergeCell ref="A18:H18"/>
    <mergeCell ref="A19:H19"/>
    <mergeCell ref="A32:H32"/>
    <mergeCell ref="A39:H39"/>
    <mergeCell ref="A34:H34"/>
    <mergeCell ref="A35:H35"/>
    <mergeCell ref="A36:H36"/>
    <mergeCell ref="A1:H1"/>
    <mergeCell ref="A2:H2"/>
    <mergeCell ref="A4:H4"/>
    <mergeCell ref="A5:H5"/>
    <mergeCell ref="A6:H6"/>
    <mergeCell ref="A8:H8"/>
    <mergeCell ref="A9:D9"/>
    <mergeCell ref="E9:H9"/>
    <mergeCell ref="A10:D10"/>
    <mergeCell ref="E17:H17"/>
    <mergeCell ref="A12:D12"/>
    <mergeCell ref="E10:H10"/>
    <mergeCell ref="A11:D11"/>
    <mergeCell ref="A13:D13"/>
    <mergeCell ref="E13:H13"/>
    <mergeCell ref="A14:D14"/>
    <mergeCell ref="E14:H14"/>
    <mergeCell ref="A15:D15"/>
    <mergeCell ref="E15:H15"/>
    <mergeCell ref="A16:D16"/>
    <mergeCell ref="E16:H16"/>
  </mergeCells>
  <phoneticPr fontId="10" type="noConversion"/>
  <conditionalFormatting sqref="A7:H17">
    <cfRule type="containsText" dxfId="29" priority="1" operator="containsText" text="OKAY"/>
    <cfRule type="containsText" dxfId="28" priority="2" operator="containsText" text="NOT OKAY"/>
  </conditionalFormatting>
  <conditionalFormatting sqref="A20:H20">
    <cfRule type="containsText" dxfId="27" priority="3" operator="containsText" text="OKAY"/>
    <cfRule type="containsText" dxfId="26" priority="4" operator="containsText" text="NOT OKAY"/>
  </conditionalFormatting>
  <conditionalFormatting sqref="A23:H23">
    <cfRule type="containsText" dxfId="25" priority="5" operator="containsText" text="OKAY"/>
    <cfRule type="containsText" dxfId="24" priority="6" operator="containsText" text="NOT OKAY"/>
  </conditionalFormatting>
  <conditionalFormatting sqref="A9:H9">
    <cfRule type="containsText" dxfId="23" priority="7" operator="containsText" text="OKAY"/>
    <cfRule type="containsText" dxfId="22" priority="8" operator="containsText" text="NOT OKAY"/>
    <cfRule type="containsText" dxfId="21" priority="9" operator="containsText" text="Missing input"/>
  </conditionalFormatting>
  <conditionalFormatting sqref="H38 H15:H17">
    <cfRule type="containsText" dxfId="20" priority="10" operator="containsText" text="OKAY"/>
    <cfRule type="containsText" dxfId="19" priority="11" operator="containsText" text="NOT OKAY"/>
    <cfRule type="containsText" dxfId="18" priority="12" operator="containsText" text="INPUT REQUIRED"/>
  </conditionalFormatting>
  <printOptions horizontalCentered="1"/>
  <pageMargins left="0.4724409448818897" right="0.4724409448818897" top="0.4724409448818897" bottom="0.4724409448818897" header="0.3" footer="0.3"/>
  <pageSetup paperSize="9" scale="88" fitToHeight="0" orientation="portrait" r:id="rId1"/>
  <headerFooter>
    <oddFooter>&amp;LSection A | Structural appraisal&amp;R&amp;P / &amp;N</oddFooter>
  </headerFooter>
  <rowBreaks count="1" manualBreakCount="1">
    <brk id="17"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GenerateCopy">
              <controlPr defaultSize="0" print="0" autoFill="0" autoPict="0" macro="GenerateCopy">
                <anchor moveWithCells="1" sizeWithCells="1">
                  <from>
                    <xdr:col>5</xdr:col>
                    <xdr:colOff>0</xdr:colOff>
                    <xdr:row>2</xdr:row>
                    <xdr:rowOff>0</xdr:rowOff>
                  </from>
                  <to>
                    <xdr:col>6</xdr:col>
                    <xdr:colOff>121920</xdr:colOff>
                    <xdr:row>4</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8DAF4-DA5E-4C45-BC57-A34ED1C14858}">
  <sheetPr codeName="Sheet12">
    <tabColor rgb="FF205E73"/>
    <pageSetUpPr fitToPage="1"/>
  </sheetPr>
  <dimension ref="A1:Q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IF('_Input Engine'!$C$3="","",'_Input Engine'!$C$3)</f>
        <v>S1</v>
      </c>
      <c r="D1" s="162"/>
      <c r="E1" s="162"/>
      <c r="F1" s="162"/>
      <c r="G1" s="162"/>
      <c r="H1" s="162"/>
      <c r="I1" s="162"/>
      <c r="J1" s="162"/>
      <c r="K1" s="414" t="s">
        <v>1111</v>
      </c>
      <c r="L1" s="414"/>
      <c r="M1" s="414"/>
      <c r="N1" s="414"/>
      <c r="O1" s="414"/>
      <c r="P1" s="414"/>
      <c r="Q1" s="414"/>
    </row>
    <row r="2" spans="1:17" ht="21" customHeight="1">
      <c r="A2" s="158" t="s">
        <v>735</v>
      </c>
      <c r="B2" s="158" t="s">
        <v>667</v>
      </c>
      <c r="C2" s="241" t="str">
        <f>IF(COUNTIF('_Input Engine'!$A$11:$A$20,C1)&lt;&gt;1,"",IF(INDEX('_Input Engine'!$B$11:$B$20,MATCH(C1,'_Input Engine'!$A$11:$A$20,0))="","",INDEX('_Input Engine'!$B$11:$B$20,MATCH(C1,'_Input Engine'!$A$11:$A$20,0))*1000))</f>
        <v/>
      </c>
      <c r="D2" s="162"/>
      <c r="E2" s="163"/>
      <c r="F2" s="163"/>
      <c r="G2" s="163"/>
      <c r="H2" s="163"/>
      <c r="I2" s="163"/>
      <c r="J2" s="162"/>
      <c r="K2" s="414"/>
      <c r="L2" s="414"/>
      <c r="M2" s="414"/>
      <c r="N2" s="414"/>
      <c r="O2" s="414"/>
      <c r="P2" s="414"/>
      <c r="Q2" s="414"/>
    </row>
    <row r="3" spans="1:17" ht="21" customHeight="1">
      <c r="A3" s="158" t="s">
        <v>668</v>
      </c>
      <c r="B3" s="158" t="s">
        <v>667</v>
      </c>
      <c r="C3" s="242" t="str">
        <f>IF(COUNTIF('_Input Engine'!$A$11:$A$20,C1)&lt;&gt;1,"",IF(INDEX('_Input Engine'!$G$11:$G$20,MATCH(C1,'_Input Engine'!$A$11:$A$20,0))="","",INDEX('_Input Engine'!$G$11:$G$20,MATCH(C1,'_Input Engine'!$A$11:$A$20,0))))</f>
        <v>Simply-supported</v>
      </c>
      <c r="D3" s="162"/>
      <c r="E3" s="162"/>
      <c r="F3" s="162"/>
      <c r="G3" s="162"/>
      <c r="H3" s="162"/>
      <c r="I3" s="162"/>
      <c r="J3" s="162"/>
      <c r="K3" s="414"/>
      <c r="L3" s="414"/>
      <c r="M3" s="414"/>
      <c r="N3" s="414"/>
      <c r="O3" s="414"/>
      <c r="P3" s="414"/>
      <c r="Q3" s="414"/>
    </row>
    <row r="4" spans="1:17" ht="21" customHeight="1">
      <c r="A4" s="158" t="s">
        <v>669</v>
      </c>
      <c r="B4" s="158" t="s">
        <v>667</v>
      </c>
      <c r="C4" s="243" t="str">
        <f>IF('_Input Engine'!$C$4="","",'_Input Engine'!$C$4)</f>
        <v/>
      </c>
      <c r="D4" s="162"/>
      <c r="E4" s="162"/>
      <c r="F4" s="162"/>
      <c r="G4" s="162"/>
      <c r="H4" s="162"/>
      <c r="I4" s="162"/>
      <c r="J4" s="162"/>
      <c r="K4" s="410" t="s">
        <v>991</v>
      </c>
      <c r="L4" s="410"/>
      <c r="M4" s="410"/>
      <c r="N4" s="410"/>
      <c r="O4" s="410"/>
      <c r="P4" s="410"/>
      <c r="Q4" s="410"/>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IF(COUNTIF('_Input Engine'!$A$11:$A$20,C1)&lt;&gt;1,"",IF(INDEX('_Input Engine'!$C$11:$C$20,MATCH(C1,'_Input Engine'!$A$11:$A$20,0))="","",INDEX('_Input Engine'!$C$11:$C$20,MATCH(C1,'_Input Engine'!$A$11:$A$20,0))))</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12"/>
      <c r="L8" s="412"/>
      <c r="M8" s="412"/>
      <c r="N8" s="412"/>
      <c r="O8" s="163"/>
      <c r="P8" s="163"/>
      <c r="Q8" s="163"/>
    </row>
    <row r="9" spans="1:17" ht="21" customHeight="1">
      <c r="A9" s="158" t="s">
        <v>672</v>
      </c>
      <c r="B9" s="158" t="s">
        <v>667</v>
      </c>
      <c r="C9" s="258">
        <v>1</v>
      </c>
      <c r="D9" s="162"/>
      <c r="E9" s="162"/>
      <c r="F9" s="162"/>
      <c r="G9" s="162"/>
      <c r="H9" s="162"/>
      <c r="I9" s="162"/>
      <c r="J9" s="162"/>
      <c r="K9" s="412"/>
      <c r="L9" s="412"/>
      <c r="M9" s="412"/>
      <c r="N9" s="412"/>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12"/>
      <c r="L10" s="412"/>
      <c r="M10" s="412"/>
      <c r="N10" s="412"/>
      <c r="O10" s="163"/>
      <c r="P10" s="163"/>
      <c r="Q10" s="163"/>
    </row>
    <row r="11" spans="1:17" ht="21" customHeight="1">
      <c r="A11" s="158" t="s">
        <v>674</v>
      </c>
      <c r="B11" s="162" t="s">
        <v>667</v>
      </c>
      <c r="C11" s="244">
        <f>1000</f>
        <v>1000</v>
      </c>
      <c r="D11" s="162"/>
      <c r="E11" s="162"/>
      <c r="F11" s="162"/>
      <c r="G11" s="162"/>
      <c r="H11" s="162"/>
      <c r="I11" s="162"/>
      <c r="J11" s="162"/>
      <c r="K11" s="14" t="s">
        <v>755</v>
      </c>
      <c r="L11" s="14" t="str">
        <f>IF(COUNTIF('_Input Engine'!$A$11:$A$20,C1)&lt;&gt;1,"SELECT SLAB ID AT BEAM LOADING",IF(INDEX('_Input Engine'!$I$11:$I$20,MATCH(C1,'_Input Engine'!$A$11:$A$20,0))&lt;&gt;"OK",INDEX('_Input Engine'!$I$11:$I$20,MATCH(C1,'_Input Engine'!$A$11:$A$20,0)),IF(AND(C4&lt;&gt;45,C4&lt;&gt;60),"SELECT COMMON GRADE 45 / 60",IF(NOT(ISNUMBER(C7)),"SELECT COMMON FIRE HOURS",IF(C7&lt;=0,"CHECK COVER TABLE",IF(NOT(ISNUMBER(C10)),"CHECK BAR / LAYERS / DEPTH","OK"))))))</f>
        <v>UNUSED</v>
      </c>
      <c r="M11" s="14"/>
      <c r="N11" s="14"/>
      <c r="O11" s="163"/>
      <c r="P11" s="163"/>
      <c r="Q11" s="163"/>
    </row>
    <row r="12" spans="1:17" ht="25.05" customHeight="1">
      <c r="A12" s="169" t="s">
        <v>675</v>
      </c>
      <c r="B12" s="170"/>
      <c r="C12" s="171"/>
      <c r="D12" s="170"/>
      <c r="E12" s="170"/>
      <c r="F12" s="170"/>
      <c r="G12" s="170"/>
      <c r="H12" s="170"/>
      <c r="I12" s="170"/>
      <c r="J12" s="162"/>
      <c r="K12" s="418" t="s">
        <v>992</v>
      </c>
      <c r="L12" s="418"/>
      <c r="M12" s="418"/>
      <c r="N12" s="418"/>
      <c r="O12" s="418"/>
      <c r="P12" s="418"/>
      <c r="Q12" s="418"/>
    </row>
    <row r="13" spans="1:17" ht="21" customHeight="1">
      <c r="A13" s="158" t="s">
        <v>676</v>
      </c>
      <c r="B13" s="158" t="s">
        <v>667</v>
      </c>
      <c r="C13" s="246" t="str">
        <f>IF(COUNTIF('_Input Engine'!$A$11:$A$20,C1)&lt;&gt;1,"",IF(INDEX('_Input Engine'!$J$11:$J$20,MATCH(C1,'_Input Engine'!$A$11:$A$20,0))="","",INDEX('_Input Engine'!$J$11:$J$20,MATCH(C1,'_Input Engine'!$A$11:$A$20,0))))</f>
        <v/>
      </c>
      <c r="D13" s="162"/>
      <c r="E13" s="162"/>
      <c r="F13" s="162"/>
      <c r="G13" s="162"/>
      <c r="H13" s="162"/>
      <c r="I13" s="162"/>
      <c r="J13" s="162"/>
      <c r="K13" s="418"/>
      <c r="L13" s="418"/>
      <c r="M13" s="418"/>
      <c r="N13" s="418"/>
      <c r="O13" s="418"/>
      <c r="P13" s="418"/>
      <c r="Q13" s="418"/>
    </row>
    <row r="14" spans="1:17" ht="21" customHeight="1">
      <c r="A14" s="158" t="s">
        <v>212</v>
      </c>
      <c r="B14" s="158" t="s">
        <v>667</v>
      </c>
      <c r="C14" s="247" t="str">
        <f>IF(COUNTIF('_Input Engine'!$A$11:$A$20,C1)&lt;&gt;1,"",IF(INDEX('_Input Engine'!$E$11:$E$20,MATCH(C1,'_Input Engine'!$A$11:$A$20,0))="","",INDEX('_Input Engine'!$E$11:$E$20,MATCH(C1,'_Input Engine'!$A$11:$A$20,0))))</f>
        <v/>
      </c>
      <c r="D14" s="162"/>
      <c r="E14" s="162"/>
      <c r="F14" s="162"/>
      <c r="G14" s="162"/>
      <c r="H14" s="162"/>
      <c r="I14" s="162"/>
      <c r="J14" s="162"/>
      <c r="K14" s="418" t="s">
        <v>1099</v>
      </c>
      <c r="L14" s="418"/>
      <c r="M14" s="418"/>
      <c r="N14" s="418"/>
      <c r="O14" s="163"/>
      <c r="P14" s="163"/>
      <c r="Q14" s="163"/>
    </row>
    <row r="15" spans="1:17" ht="21" customHeight="1">
      <c r="A15" s="158" t="s">
        <v>677</v>
      </c>
      <c r="B15" s="158" t="s">
        <v>667</v>
      </c>
      <c r="C15" s="247" t="str">
        <f>IF(COUNTIF('_Input Engine'!$A$11:$A$20,C1)&lt;&gt;1,"",IF(INDEX('_Input Engine'!$F$11:$F$20,MATCH(C1,'_Input Engine'!$A$11:$A$20,0))="","",INDEX('_Input Engine'!$F$11:$F$20,MATCH(C1,'_Input Engine'!$A$11:$A$20,0))))</f>
        <v/>
      </c>
      <c r="D15" s="162"/>
      <c r="E15" s="162"/>
      <c r="F15" s="162"/>
      <c r="G15" s="162"/>
      <c r="H15" s="162"/>
      <c r="I15" s="162"/>
      <c r="J15" s="162"/>
      <c r="K15" s="418"/>
      <c r="L15" s="418"/>
      <c r="M15" s="418"/>
      <c r="N15" s="418"/>
      <c r="O15" s="163"/>
      <c r="P15" s="163"/>
      <c r="Q15" s="163"/>
    </row>
    <row r="16" spans="1:17" ht="21" customHeight="1">
      <c r="A16" s="158" t="s">
        <v>776</v>
      </c>
      <c r="B16" s="162" t="s">
        <v>901</v>
      </c>
      <c r="C16" s="246" t="str">
        <f>IF(COUNTIF('_Input Engine'!$A$11:$A$20,C1)&lt;&gt;1,"",IF(INDEX('_Input Engine'!$D$11:$D$20,MATCH(C1,'_Input Engine'!$A$11:$A$20,0))="","",INDEX('_Input Engine'!$D$11:$D$20,MATCH(C1,'_Input Engine'!$A$11:$A$20,0))))</f>
        <v/>
      </c>
      <c r="D16" s="162"/>
      <c r="E16" s="162"/>
      <c r="F16" s="162"/>
      <c r="G16" s="162"/>
      <c r="H16" s="162"/>
      <c r="I16" s="162"/>
      <c r="J16" s="162"/>
      <c r="K16" s="418"/>
      <c r="L16" s="418"/>
      <c r="M16" s="418"/>
      <c r="N16" s="418"/>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8" t="s">
        <v>758</v>
      </c>
      <c r="L18" s="418"/>
      <c r="M18" s="418"/>
      <c r="N18" s="418"/>
      <c r="O18" s="163"/>
      <c r="P18" s="163"/>
      <c r="Q18" s="163"/>
    </row>
    <row r="19" spans="1:17" ht="9" customHeight="1">
      <c r="A19" s="158"/>
      <c r="B19" s="162"/>
      <c r="C19" s="158"/>
      <c r="D19" s="162"/>
      <c r="E19" s="162"/>
      <c r="F19" s="162"/>
      <c r="G19" s="162"/>
      <c r="H19" s="162"/>
      <c r="I19" s="162"/>
      <c r="J19" s="162"/>
      <c r="K19" s="418"/>
      <c r="L19" s="418"/>
      <c r="M19" s="418"/>
      <c r="N19" s="418"/>
      <c r="O19" s="163"/>
      <c r="P19" s="163"/>
      <c r="Q19" s="163"/>
    </row>
    <row r="20" spans="1:17" ht="9" customHeight="1">
      <c r="A20" s="482" t="s">
        <v>680</v>
      </c>
      <c r="B20" s="482"/>
      <c r="C20" s="482"/>
      <c r="D20" s="482"/>
      <c r="E20" s="482"/>
      <c r="F20" s="482"/>
      <c r="G20" s="482"/>
      <c r="H20" s="482"/>
      <c r="I20" s="482"/>
      <c r="J20" s="162" t="s">
        <v>681</v>
      </c>
      <c r="K20" s="163"/>
      <c r="L20" s="163"/>
      <c r="M20" s="163"/>
      <c r="N20" s="163"/>
      <c r="O20" s="163"/>
      <c r="P20" s="163"/>
      <c r="Q20" s="163"/>
    </row>
    <row r="21" spans="1:17" ht="25.05" customHeight="1">
      <c r="A21" s="482"/>
      <c r="B21" s="482"/>
      <c r="C21" s="482"/>
      <c r="D21" s="482"/>
      <c r="E21" s="482"/>
      <c r="F21" s="482"/>
      <c r="G21" s="482"/>
      <c r="H21" s="482"/>
      <c r="I21" s="482"/>
      <c r="J21" s="162"/>
      <c r="K21" s="481" t="s">
        <v>1003</v>
      </c>
      <c r="L21" s="481"/>
      <c r="M21" s="481"/>
      <c r="N21" s="481"/>
      <c r="O21" s="481"/>
      <c r="P21" s="481"/>
      <c r="Q21" s="481"/>
    </row>
    <row r="22" spans="1:17" ht="21" customHeight="1">
      <c r="A22" s="467" t="s">
        <v>713</v>
      </c>
      <c r="B22" s="467" t="s">
        <v>667</v>
      </c>
      <c r="C22" s="159" t="str">
        <f>IF(ISNUMBER(D22),"wL2","")</f>
        <v/>
      </c>
      <c r="D22" s="479" t="str">
        <f>IF(L11&lt;&gt;"OK","",IF(AND(C39=20,ISNUMBER(C18)),C18*(C2/1000)^2/8,""))</f>
        <v/>
      </c>
      <c r="E22" s="479"/>
      <c r="F22" s="479"/>
      <c r="G22" s="162"/>
      <c r="H22" s="162"/>
      <c r="I22" s="162"/>
      <c r="J22" s="162"/>
      <c r="K22" s="481"/>
      <c r="L22" s="481"/>
      <c r="M22" s="481"/>
      <c r="N22" s="481"/>
      <c r="O22" s="481"/>
      <c r="P22" s="481"/>
      <c r="Q22" s="481"/>
    </row>
    <row r="23" spans="1:17" ht="21" customHeight="1">
      <c r="A23" s="467"/>
      <c r="B23" s="467"/>
      <c r="C23" s="158" t="str">
        <f>IF(ISNUMBER(D22),8,"")</f>
        <v/>
      </c>
      <c r="D23" s="479"/>
      <c r="E23" s="479"/>
      <c r="F23" s="479"/>
      <c r="G23" s="162"/>
      <c r="H23" s="162"/>
      <c r="I23" s="162"/>
      <c r="J23" s="162"/>
      <c r="K23" s="481"/>
      <c r="L23" s="481"/>
      <c r="M23" s="481"/>
      <c r="N23" s="481"/>
      <c r="O23" s="481"/>
      <c r="P23" s="481"/>
      <c r="Q23" s="481"/>
    </row>
    <row r="24" spans="1:17" ht="21" customHeight="1">
      <c r="A24" s="467" t="s">
        <v>682</v>
      </c>
      <c r="B24" s="467" t="s">
        <v>667</v>
      </c>
      <c r="C24" s="159" t="s">
        <v>683</v>
      </c>
      <c r="D24" s="467" t="s">
        <v>667</v>
      </c>
      <c r="E24" s="483" t="str">
        <f>IF(COUNT(D22,C4,C11,C10)&lt;&gt;4,"",IF(MIN(C4,C11,C10)&gt;0,D22*1000000/C4/C11/C10^2,""))</f>
        <v/>
      </c>
      <c r="F24" s="480" t="str">
        <f>IF(ISNUMBER(E24),IF(E24&lt;G24,"&lt;","&gt;"),"")</f>
        <v/>
      </c>
      <c r="G24" s="467" t="str">
        <f>IF(ISNUMBER(C4),IF(C4&lt;=45,0.156,IF(C4&lt;70,0.12,0.094)),"")</f>
        <v/>
      </c>
      <c r="H24" s="162"/>
      <c r="I24" s="162"/>
      <c r="J24" s="162"/>
      <c r="K24" s="481"/>
      <c r="L24" s="481"/>
      <c r="M24" s="481"/>
      <c r="N24" s="481"/>
      <c r="O24" s="481"/>
      <c r="P24" s="481"/>
      <c r="Q24" s="481"/>
    </row>
    <row r="25" spans="1:17" ht="21" customHeight="1">
      <c r="A25" s="467"/>
      <c r="B25" s="467"/>
      <c r="C25" s="158" t="s">
        <v>981</v>
      </c>
      <c r="D25" s="467"/>
      <c r="E25" s="483"/>
      <c r="F25" s="480"/>
      <c r="G25" s="467"/>
      <c r="H25" s="162"/>
      <c r="I25" s="162"/>
      <c r="J25" s="162"/>
      <c r="K25" s="481"/>
      <c r="L25" s="481"/>
      <c r="M25" s="481"/>
      <c r="N25" s="481"/>
      <c r="O25" s="481"/>
      <c r="P25" s="481"/>
      <c r="Q25" s="481"/>
    </row>
    <row r="26" spans="1:17" ht="21" customHeight="1">
      <c r="A26" s="158"/>
      <c r="B26" s="158"/>
      <c r="C26" s="158"/>
      <c r="D26" s="158"/>
      <c r="E26" s="160"/>
      <c r="F26" s="158"/>
      <c r="G26" s="162"/>
      <c r="H26" s="162"/>
      <c r="I26" s="162"/>
      <c r="J26" s="162"/>
      <c r="K26" s="478" t="s">
        <v>1015</v>
      </c>
      <c r="L26" s="418"/>
      <c r="M26" s="418"/>
      <c r="N26" s="418"/>
      <c r="O26" s="418"/>
      <c r="P26" s="418"/>
      <c r="Q26" s="418"/>
    </row>
    <row r="27" spans="1:17" ht="21" customHeight="1">
      <c r="A27" s="158" t="s">
        <v>684</v>
      </c>
      <c r="B27" s="158" t="s">
        <v>667</v>
      </c>
      <c r="C27" s="467" t="s">
        <v>982</v>
      </c>
      <c r="D27" s="467"/>
      <c r="E27" s="467"/>
      <c r="F27" s="249" t="str">
        <f>IF(ISNUMBER(E24),IF(AND(E24&gt;=0,E24&lt;=0.225),0.5+SQRT(0.25-E24/0.9),""),"")</f>
        <v/>
      </c>
      <c r="G27" s="250" t="str">
        <f>IF(ISNUMBER(F27),IF(F27&lt;H27,"&lt;","&gt;"),"")</f>
        <v/>
      </c>
      <c r="H27" s="165">
        <v>0.95</v>
      </c>
      <c r="I27" s="162"/>
      <c r="J27" s="162"/>
      <c r="K27" s="418"/>
      <c r="L27" s="418"/>
      <c r="M27" s="418"/>
      <c r="N27" s="418"/>
      <c r="O27" s="418"/>
      <c r="P27" s="418"/>
      <c r="Q27" s="418"/>
    </row>
    <row r="28" spans="1:17" ht="21" customHeight="1">
      <c r="A28" s="158"/>
      <c r="B28" s="162"/>
      <c r="C28" s="158"/>
      <c r="D28" s="162"/>
      <c r="E28" s="162"/>
      <c r="F28" s="162"/>
      <c r="G28" s="162"/>
      <c r="H28" s="162"/>
      <c r="I28" s="162"/>
      <c r="J28" s="162"/>
      <c r="K28" s="418"/>
      <c r="L28" s="418"/>
      <c r="M28" s="418"/>
      <c r="N28" s="418"/>
      <c r="O28" s="418"/>
      <c r="P28" s="418"/>
      <c r="Q28" s="418"/>
    </row>
    <row r="29" spans="1:17" ht="21" customHeight="1">
      <c r="A29" s="467" t="s">
        <v>983</v>
      </c>
      <c r="B29" s="467" t="s">
        <v>667</v>
      </c>
      <c r="C29" s="159" t="s">
        <v>683</v>
      </c>
      <c r="D29" s="467" t="s">
        <v>667</v>
      </c>
      <c r="E29" s="468" t="str">
        <f>IF(COUNT(D22,C5,F27,C10)&lt;&gt;4,"",IF(MIN(C5,F27,C10)&gt;0,D22*1000000/(0.87*C5*MIN(F27,H27)*C10),""))</f>
        <v/>
      </c>
      <c r="F29" s="467" t="s">
        <v>984</v>
      </c>
      <c r="G29" s="162"/>
      <c r="H29" s="162"/>
      <c r="I29" s="162"/>
      <c r="J29" s="162"/>
      <c r="K29" s="418" t="s">
        <v>993</v>
      </c>
      <c r="L29" s="418"/>
      <c r="M29" s="418"/>
      <c r="N29" s="418"/>
      <c r="O29" s="418"/>
      <c r="P29" s="418"/>
      <c r="Q29" s="418"/>
    </row>
    <row r="30" spans="1:17" ht="21" customHeight="1">
      <c r="A30" s="467"/>
      <c r="B30" s="467"/>
      <c r="C30" s="158" t="s">
        <v>985</v>
      </c>
      <c r="D30" s="467"/>
      <c r="E30" s="468"/>
      <c r="F30" s="467"/>
      <c r="G30" s="162"/>
      <c r="H30" s="162"/>
      <c r="I30" s="162"/>
      <c r="J30" s="162"/>
      <c r="K30" s="418"/>
      <c r="L30" s="418"/>
      <c r="M30" s="418"/>
      <c r="N30" s="418"/>
      <c r="O30" s="418"/>
      <c r="P30" s="418"/>
      <c r="Q30" s="418"/>
    </row>
    <row r="31" spans="1:17" ht="21" customHeight="1">
      <c r="A31" s="158"/>
      <c r="B31" s="162"/>
      <c r="C31" s="158"/>
      <c r="D31" s="162"/>
      <c r="E31" s="162"/>
      <c r="F31" s="162"/>
      <c r="G31" s="162"/>
      <c r="H31" s="162"/>
      <c r="I31" s="162"/>
      <c r="J31" s="162"/>
      <c r="K31" s="418"/>
      <c r="L31" s="418"/>
      <c r="M31" s="418"/>
      <c r="N31" s="418"/>
      <c r="O31" s="418"/>
      <c r="P31" s="418"/>
      <c r="Q31" s="418"/>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8"/>
      <c r="L32" s="418"/>
      <c r="M32" s="418"/>
      <c r="N32" s="418"/>
      <c r="O32" s="418"/>
      <c r="P32" s="418"/>
      <c r="Q32" s="418"/>
    </row>
    <row r="33" spans="1:17" ht="21" customHeight="1">
      <c r="A33" s="166"/>
      <c r="B33" s="162"/>
      <c r="C33" s="158"/>
      <c r="D33" s="162"/>
      <c r="E33" s="162"/>
      <c r="F33" s="158"/>
      <c r="G33" s="162"/>
      <c r="H33" s="162"/>
      <c r="I33" s="162"/>
      <c r="J33" s="162"/>
      <c r="K33" s="163"/>
      <c r="L33" s="163"/>
      <c r="M33" s="163"/>
      <c r="N33" s="163"/>
      <c r="O33" s="163"/>
      <c r="P33" s="163"/>
      <c r="Q33" s="163"/>
    </row>
    <row r="34" spans="1:17"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17" ht="21" customHeight="1">
      <c r="A35" s="166" t="s">
        <v>687</v>
      </c>
      <c r="B35" s="162"/>
      <c r="C35" s="158"/>
      <c r="D35" s="162"/>
      <c r="E35" s="162"/>
      <c r="F35" s="259">
        <v>12</v>
      </c>
      <c r="G35" s="161" t="s">
        <v>688</v>
      </c>
      <c r="H35" s="260">
        <v>100</v>
      </c>
      <c r="I35" s="251">
        <f>IF(COUNT(F35,H35)&lt;&gt;2,"",IF(MIN(F35,H35)&gt;0,F35^2*PI()/4*1000/H35,""))</f>
        <v>1130.9733552923256</v>
      </c>
      <c r="J35" s="162"/>
      <c r="K35" s="163"/>
      <c r="L35" s="163"/>
      <c r="M35" s="163"/>
      <c r="N35" s="163"/>
      <c r="O35" s="163"/>
      <c r="P35" s="163"/>
      <c r="Q35" s="163"/>
    </row>
    <row r="36" spans="1:17" ht="9" customHeight="1">
      <c r="A36" s="164"/>
      <c r="B36" s="162"/>
      <c r="C36" s="158"/>
      <c r="D36" s="162"/>
      <c r="E36" s="162"/>
      <c r="F36" s="162"/>
      <c r="G36" s="167"/>
      <c r="H36" s="161"/>
      <c r="I36" s="161"/>
      <c r="J36" s="162"/>
      <c r="K36" s="163"/>
      <c r="L36" s="163"/>
      <c r="M36" s="163"/>
      <c r="N36" s="163"/>
      <c r="O36" s="163"/>
      <c r="P36" s="163"/>
      <c r="Q36" s="163"/>
    </row>
    <row r="37" spans="1:17" ht="25.05" customHeight="1">
      <c r="A37" s="169" t="s">
        <v>689</v>
      </c>
      <c r="B37" s="170"/>
      <c r="C37" s="171"/>
      <c r="D37" s="170"/>
      <c r="E37" s="170"/>
      <c r="F37" s="170"/>
      <c r="G37" s="170"/>
      <c r="H37" s="170"/>
      <c r="I37" s="170"/>
      <c r="J37" s="162"/>
      <c r="K37" s="163"/>
      <c r="L37" s="163"/>
      <c r="M37" s="163"/>
      <c r="N37" s="163"/>
      <c r="O37" s="163"/>
      <c r="P37" s="163"/>
      <c r="Q37" s="163"/>
    </row>
    <row r="38" spans="1:17" ht="21" customHeight="1">
      <c r="A38" s="158"/>
      <c r="B38" s="162"/>
      <c r="C38" s="158"/>
      <c r="D38" s="162"/>
      <c r="E38" s="162"/>
      <c r="F38" s="162"/>
      <c r="G38" s="162"/>
      <c r="H38" s="162"/>
      <c r="I38" s="162"/>
      <c r="J38" s="162"/>
      <c r="K38" s="163"/>
      <c r="L38" s="163"/>
      <c r="M38" s="163"/>
      <c r="N38" s="163"/>
      <c r="O38" s="163"/>
      <c r="P38" s="163"/>
      <c r="Q38" s="163"/>
    </row>
    <row r="39" spans="1:17" ht="21" customHeight="1">
      <c r="A39" s="158" t="s">
        <v>690</v>
      </c>
      <c r="B39" s="158" t="s">
        <v>667</v>
      </c>
      <c r="C39" s="158">
        <f>IF(C3="Simply-supported",20,IF(C3="End span",23,IF(C3="Continuous",26,IF(C3="Cantilever",7,""))))</f>
        <v>20</v>
      </c>
      <c r="D39" s="162" t="str">
        <f>IF(C3="","","("&amp;C3&amp;" Slab)")</f>
        <v>(Simply-supported Slab)</v>
      </c>
      <c r="E39" s="162"/>
      <c r="F39" s="162"/>
      <c r="G39" s="162"/>
      <c r="H39" s="162"/>
      <c r="I39" s="158" t="s">
        <v>691</v>
      </c>
      <c r="J39" s="162"/>
      <c r="K39" s="163"/>
      <c r="L39" s="163"/>
      <c r="M39" s="163"/>
      <c r="N39" s="163"/>
      <c r="O39" s="163"/>
      <c r="P39" s="163"/>
      <c r="Q39" s="163"/>
    </row>
    <row r="40" spans="1:17" ht="21" customHeight="1">
      <c r="A40" s="159" t="s">
        <v>683</v>
      </c>
      <c r="B40" s="467" t="s">
        <v>667</v>
      </c>
      <c r="C40" s="471" t="str">
        <f>IF(COUNT(D22,C10)=2,D22*1000000/1000/C10^2,"")</f>
        <v/>
      </c>
      <c r="D40" s="162"/>
      <c r="E40" s="162"/>
      <c r="F40" s="162"/>
      <c r="G40" s="162"/>
      <c r="H40" s="162"/>
      <c r="I40" s="162"/>
      <c r="J40" s="162"/>
      <c r="K40" s="163"/>
      <c r="L40" s="163"/>
      <c r="M40" s="163"/>
      <c r="N40" s="163"/>
      <c r="O40" s="163"/>
      <c r="P40" s="163"/>
      <c r="Q40" s="163"/>
    </row>
    <row r="41" spans="1:17" ht="21" customHeight="1">
      <c r="A41" s="158" t="s">
        <v>986</v>
      </c>
      <c r="B41" s="467"/>
      <c r="C41" s="471"/>
      <c r="D41" s="162"/>
      <c r="E41" s="162"/>
      <c r="F41" s="162"/>
      <c r="G41" s="162"/>
      <c r="H41" s="162"/>
      <c r="I41" s="162"/>
      <c r="J41" s="162"/>
      <c r="K41" s="162"/>
      <c r="L41" s="162"/>
      <c r="M41" s="162"/>
      <c r="N41" s="162"/>
      <c r="O41" s="162"/>
      <c r="P41" s="162"/>
      <c r="Q41" s="162"/>
    </row>
    <row r="42" spans="1:17" ht="21" customHeight="1">
      <c r="A42" s="467" t="s">
        <v>987</v>
      </c>
      <c r="B42" s="467" t="s">
        <v>667</v>
      </c>
      <c r="C42" s="159" t="s">
        <v>988</v>
      </c>
      <c r="D42" s="467" t="s">
        <v>667</v>
      </c>
      <c r="E42" s="468" t="str">
        <f>IF(COUNT(C5,F34,I35)&lt;&gt;3,"",IF(I35&gt;0,2*C5*F34/(3*I35),""))</f>
        <v/>
      </c>
      <c r="F42" s="162"/>
      <c r="G42" s="162"/>
      <c r="H42" s="162"/>
      <c r="I42" s="162"/>
      <c r="J42" s="162"/>
      <c r="K42" s="162"/>
      <c r="L42" s="162"/>
      <c r="M42" s="162"/>
      <c r="N42" s="162"/>
      <c r="O42" s="162"/>
      <c r="P42" s="162"/>
      <c r="Q42" s="162"/>
    </row>
    <row r="43" spans="1:17" ht="21" customHeight="1">
      <c r="A43" s="467"/>
      <c r="B43" s="467"/>
      <c r="C43" s="158" t="s">
        <v>989</v>
      </c>
      <c r="D43" s="467"/>
      <c r="E43" s="468"/>
      <c r="F43" s="162"/>
      <c r="G43" s="162"/>
      <c r="H43" s="162"/>
      <c r="I43" s="162"/>
      <c r="J43" s="162"/>
      <c r="K43" s="162"/>
      <c r="L43" s="162"/>
      <c r="M43" s="162"/>
      <c r="N43" s="162"/>
      <c r="O43" s="162"/>
      <c r="P43" s="162"/>
      <c r="Q43" s="162"/>
    </row>
    <row r="44" spans="1:17"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17"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17"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17" ht="9" customHeight="1">
      <c r="A47" s="158"/>
      <c r="B47" s="162"/>
      <c r="C47" s="158"/>
      <c r="D47" s="162"/>
      <c r="E47" s="162"/>
      <c r="F47" s="162"/>
      <c r="G47" s="162"/>
      <c r="H47" s="162"/>
      <c r="I47" s="162"/>
      <c r="J47" s="162"/>
      <c r="K47" s="162"/>
      <c r="L47" s="162"/>
      <c r="M47" s="162"/>
      <c r="N47" s="162"/>
      <c r="O47" s="162"/>
      <c r="P47" s="162"/>
      <c r="Q47" s="162"/>
    </row>
    <row r="48" spans="1:17" ht="21" customHeight="1">
      <c r="A48" s="158"/>
      <c r="B48" s="162"/>
      <c r="C48" s="158"/>
      <c r="D48" s="162"/>
      <c r="E48" s="162"/>
      <c r="F48" s="162"/>
      <c r="G48" s="162"/>
      <c r="H48" s="162"/>
      <c r="I48" s="162"/>
      <c r="J48" s="162"/>
      <c r="K48" s="162"/>
      <c r="L48" s="162"/>
      <c r="M48" s="162"/>
      <c r="N48" s="162"/>
      <c r="O48" s="162"/>
      <c r="P48" s="162"/>
      <c r="Q48" s="162"/>
    </row>
    <row r="49" spans="1:17" ht="21" customHeight="1">
      <c r="A49" s="158"/>
      <c r="B49" s="162"/>
      <c r="C49" s="158"/>
      <c r="D49" s="162"/>
      <c r="E49" s="162"/>
      <c r="F49" s="162"/>
      <c r="G49" s="162"/>
      <c r="H49" s="162"/>
      <c r="I49" s="1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4" t="str">
        <f>IF(C2="","",C2)</f>
        <v/>
      </c>
      <c r="D55" s="474"/>
      <c r="E55" s="474"/>
      <c r="F55" s="474"/>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c r="B57" s="162"/>
      <c r="C57" s="261">
        <v>12</v>
      </c>
      <c r="D57" s="472">
        <v>200</v>
      </c>
      <c r="E57" s="473"/>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5" t="s">
        <v>697</v>
      </c>
      <c r="B60" s="475"/>
      <c r="C60" s="475"/>
      <c r="D60" s="475"/>
      <c r="E60" s="475"/>
      <c r="F60" s="475"/>
      <c r="G60" s="475"/>
      <c r="H60" s="475"/>
      <c r="I60" s="475"/>
      <c r="J60" s="162"/>
      <c r="K60" s="162"/>
      <c r="L60" s="162"/>
      <c r="M60" s="162"/>
      <c r="N60" s="162"/>
      <c r="O60" s="162"/>
      <c r="P60" s="162"/>
      <c r="Q60" s="162"/>
    </row>
    <row r="61" spans="1:17" ht="21" customHeight="1">
      <c r="A61" s="469" t="s">
        <v>698</v>
      </c>
      <c r="B61" s="469"/>
      <c r="C61" s="469"/>
      <c r="D61" s="469"/>
      <c r="E61" s="469"/>
      <c r="F61" s="168" t="str">
        <f>C3</f>
        <v>Simply-supported</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0"/>
      <c r="C63" s="470"/>
      <c r="D63" s="470"/>
      <c r="E63" s="470"/>
      <c r="F63" s="188" t="str">
        <f>IF(F74="OK",C18*C11/1000,"")</f>
        <v/>
      </c>
      <c r="G63" s="469" t="s">
        <v>350</v>
      </c>
      <c r="H63" s="470"/>
      <c r="I63" s="470"/>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6" t="str">
        <f>IF(F74&lt;&gt;"OK","",IF(C39=20,F63*F64/2,""))</f>
        <v/>
      </c>
      <c r="E65" s="476"/>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77" t="str">
        <f>IF(F74&lt;&gt;"OK",F74,IF(NOT(ISNUMBER(D65)),"ENTER V: non-simple support or two-way slab",IF(F71&gt;F72,"NOT OKAY - maximum shear stress exceeded",IF(F71&lt;F70,"v &lt; vc: OKAY - no links required","v &gt;= vc: shear reinforcement / section redesign required"))))</f>
        <v>UNUSED</v>
      </c>
      <c r="B73" s="477"/>
      <c r="C73" s="477"/>
      <c r="D73" s="477"/>
      <c r="E73" s="477"/>
      <c r="F73" s="477"/>
      <c r="G73" s="477"/>
      <c r="H73" s="477"/>
      <c r="I73" s="477"/>
      <c r="J73" s="162"/>
      <c r="K73" s="162"/>
      <c r="L73" s="162"/>
      <c r="M73" s="162"/>
      <c r="N73" s="162"/>
      <c r="O73" s="162"/>
      <c r="P73" s="162"/>
      <c r="Q73" s="162"/>
    </row>
    <row r="74" spans="1:17" ht="21" customHeight="1">
      <c r="A74" s="477" t="s">
        <v>708</v>
      </c>
      <c r="B74" s="477"/>
      <c r="C74" s="477"/>
      <c r="D74" s="477"/>
      <c r="E74" s="477"/>
      <c r="F74" s="477"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UNUSED</v>
      </c>
      <c r="G74" s="477"/>
      <c r="H74" s="477"/>
      <c r="I74" s="477"/>
      <c r="J74" s="162"/>
      <c r="K74" s="162"/>
      <c r="L74" s="162"/>
      <c r="M74" s="162"/>
      <c r="N74" s="162"/>
      <c r="O74" s="162"/>
      <c r="P74" s="162"/>
      <c r="Q74" s="162"/>
    </row>
    <row r="75" spans="1:17" ht="21" customHeight="1">
      <c r="A75" s="477" t="s">
        <v>903</v>
      </c>
      <c r="B75" s="477"/>
      <c r="C75" s="477"/>
      <c r="D75" s="477"/>
      <c r="E75" s="477"/>
      <c r="F75" s="477"/>
      <c r="G75" s="477"/>
      <c r="H75" s="477"/>
      <c r="I75" s="477"/>
      <c r="J75" s="162"/>
      <c r="K75" s="162"/>
      <c r="L75" s="162"/>
      <c r="M75" s="162"/>
      <c r="N75" s="162"/>
      <c r="O75" s="162"/>
      <c r="P75" s="162"/>
      <c r="Q75" s="162"/>
    </row>
    <row r="76" spans="1:17" ht="21" customHeight="1">
      <c r="A76" s="477" t="s">
        <v>709</v>
      </c>
      <c r="B76" s="477"/>
      <c r="C76" s="477"/>
      <c r="D76" s="477"/>
      <c r="E76" s="477"/>
      <c r="F76" s="477"/>
      <c r="G76" s="477"/>
      <c r="H76" s="477"/>
      <c r="I76" s="477"/>
      <c r="J76" s="162"/>
      <c r="K76" s="162"/>
      <c r="L76" s="162"/>
      <c r="M76" s="162"/>
      <c r="N76" s="162"/>
      <c r="O76" s="162"/>
      <c r="P76" s="162"/>
      <c r="Q76" s="162"/>
    </row>
    <row r="77" spans="1:17" ht="21" customHeight="1">
      <c r="A77" s="477" t="s">
        <v>710</v>
      </c>
      <c r="B77" s="477"/>
      <c r="C77" s="477"/>
      <c r="D77" s="477"/>
      <c r="E77" s="477"/>
      <c r="F77" s="477"/>
      <c r="G77" s="477"/>
      <c r="H77" s="477"/>
      <c r="I77" s="477"/>
      <c r="J77" s="162"/>
      <c r="K77" s="162"/>
      <c r="L77" s="162"/>
      <c r="M77" s="162"/>
      <c r="N77" s="162"/>
      <c r="O77" s="162"/>
      <c r="P77" s="162"/>
      <c r="Q77" s="162"/>
    </row>
    <row r="78" spans="1:17" ht="21" customHeight="1">
      <c r="A78" s="477" t="s">
        <v>711</v>
      </c>
      <c r="B78" s="477"/>
      <c r="C78" s="477"/>
      <c r="D78" s="477"/>
      <c r="E78" s="477"/>
      <c r="F78" s="477"/>
      <c r="G78" s="477"/>
      <c r="H78" s="477"/>
      <c r="I78" s="477"/>
      <c r="J78" s="162"/>
      <c r="K78" s="162"/>
      <c r="L78" s="162"/>
      <c r="M78" s="162"/>
      <c r="N78" s="162"/>
      <c r="O78" s="162"/>
      <c r="P78" s="162"/>
      <c r="Q78" s="162"/>
    </row>
    <row r="79" spans="1:17" ht="21" customHeight="1">
      <c r="A79" s="477" t="s">
        <v>712</v>
      </c>
      <c r="B79" s="477"/>
      <c r="C79" s="477"/>
      <c r="D79" s="477"/>
      <c r="E79" s="477"/>
      <c r="F79" s="477"/>
      <c r="G79" s="477"/>
      <c r="H79" s="477"/>
      <c r="I79" s="477"/>
      <c r="J79" s="162"/>
      <c r="K79" s="162"/>
      <c r="L79" s="162"/>
      <c r="M79" s="162"/>
      <c r="N79" s="162"/>
      <c r="O79" s="162"/>
      <c r="P79" s="162"/>
      <c r="Q79" s="162"/>
    </row>
  </sheetData>
  <mergeCells count="63">
    <mergeCell ref="K26:Q28"/>
    <mergeCell ref="K18:N19"/>
    <mergeCell ref="A22:A23"/>
    <mergeCell ref="B22:B23"/>
    <mergeCell ref="D22:F23"/>
    <mergeCell ref="G24:G25"/>
    <mergeCell ref="F24:F25"/>
    <mergeCell ref="K21:Q25"/>
    <mergeCell ref="A20:I21"/>
    <mergeCell ref="C27:E27"/>
    <mergeCell ref="A24:A25"/>
    <mergeCell ref="B24:B25"/>
    <mergeCell ref="D24:D25"/>
    <mergeCell ref="E24:E25"/>
    <mergeCell ref="K14:N16"/>
    <mergeCell ref="K8:N10"/>
    <mergeCell ref="K1:Q3"/>
    <mergeCell ref="K4:Q4"/>
    <mergeCell ref="K12:Q13"/>
    <mergeCell ref="A78:I78"/>
    <mergeCell ref="A79:I79"/>
    <mergeCell ref="A73:I73"/>
    <mergeCell ref="A74:E74"/>
    <mergeCell ref="F74:I74"/>
    <mergeCell ref="A75:I75"/>
    <mergeCell ref="A76:I76"/>
    <mergeCell ref="A77:I77"/>
    <mergeCell ref="A70:E70"/>
    <mergeCell ref="G70:I70"/>
    <mergeCell ref="A71:E71"/>
    <mergeCell ref="G71:I71"/>
    <mergeCell ref="A72:E72"/>
    <mergeCell ref="G72:I72"/>
    <mergeCell ref="A69:E69"/>
    <mergeCell ref="A64:E64"/>
    <mergeCell ref="G64:I64"/>
    <mergeCell ref="A66:E66"/>
    <mergeCell ref="G66:I66"/>
    <mergeCell ref="A67:E67"/>
    <mergeCell ref="G67:I67"/>
    <mergeCell ref="A68:E68"/>
    <mergeCell ref="A65:C65"/>
    <mergeCell ref="D65:E65"/>
    <mergeCell ref="A63:E63"/>
    <mergeCell ref="G63:I63"/>
    <mergeCell ref="B40:B41"/>
    <mergeCell ref="C40:C41"/>
    <mergeCell ref="A42:A43"/>
    <mergeCell ref="B42:B43"/>
    <mergeCell ref="D42:D43"/>
    <mergeCell ref="E42:E43"/>
    <mergeCell ref="D57:E57"/>
    <mergeCell ref="C55:F55"/>
    <mergeCell ref="A61:E61"/>
    <mergeCell ref="A62:E62"/>
    <mergeCell ref="G62:I62"/>
    <mergeCell ref="A60:I60"/>
    <mergeCell ref="F29:F30"/>
    <mergeCell ref="K29:Q32"/>
    <mergeCell ref="A29:A30"/>
    <mergeCell ref="B29:B30"/>
    <mergeCell ref="D29:D30"/>
    <mergeCell ref="E29:E30"/>
  </mergeCells>
  <phoneticPr fontId="10" type="noConversion"/>
  <conditionalFormatting sqref="B73:I73">
    <cfRule type="expression" dxfId="17" priority="1">
      <formula>LEFT($A$73,8)="NOT OKAY"</formula>
    </cfRule>
  </conditionalFormatting>
  <conditionalFormatting sqref="A73:I73">
    <cfRule type="expression" dxfId="16"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4742-9106-46AA-889B-112837CA6564}">
  <sheetPr codeName="Sheet22">
    <tabColor rgb="FF205E73"/>
    <pageSetUpPr fitToPage="1"/>
  </sheetPr>
  <dimension ref="A1:T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19" width="8.09765625" style="88"/>
    <col min="20" max="20" width="0" style="88" hidden="1" customWidth="1"/>
    <col min="21"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IF(INDEX(Input!A:A,$T$37)="","",INDEX(Input!A:A,$T$37))</f>
        <v>CS1</v>
      </c>
      <c r="D1" s="162"/>
      <c r="E1" s="162"/>
      <c r="F1" s="162"/>
      <c r="G1" s="162"/>
      <c r="H1" s="162"/>
      <c r="I1" s="162"/>
      <c r="J1" s="162"/>
      <c r="K1" s="414" t="s">
        <v>1172</v>
      </c>
      <c r="L1" s="414"/>
      <c r="M1" s="414"/>
      <c r="N1" s="414"/>
      <c r="O1" s="414"/>
      <c r="P1" s="414"/>
      <c r="Q1" s="414"/>
    </row>
    <row r="2" spans="1:17" ht="21" customHeight="1">
      <c r="A2" s="158" t="s">
        <v>735</v>
      </c>
      <c r="B2" s="158" t="s">
        <v>667</v>
      </c>
      <c r="C2" s="241" t="str">
        <f>IF(INDEX(Input!C:C,$T$37)="","",INDEX(Input!C:C,$T$37)*1000)</f>
        <v/>
      </c>
      <c r="D2" s="162"/>
      <c r="E2" s="163"/>
      <c r="F2" s="163"/>
      <c r="G2" s="163"/>
      <c r="H2" s="163"/>
      <c r="I2" s="163"/>
      <c r="J2" s="162"/>
      <c r="K2" s="414"/>
      <c r="L2" s="414"/>
      <c r="M2" s="414"/>
      <c r="N2" s="414"/>
      <c r="O2" s="414"/>
      <c r="P2" s="414"/>
      <c r="Q2" s="414"/>
    </row>
    <row r="3" spans="1:17" ht="21" customHeight="1">
      <c r="A3" s="158" t="s">
        <v>668</v>
      </c>
      <c r="B3" s="158" t="s">
        <v>667</v>
      </c>
      <c r="C3" s="242" t="str">
        <f>IF(INDEX(Input!E:E,$T$37)="","",INDEX(Input!E:E,$T$37))</f>
        <v>Cantilever</v>
      </c>
      <c r="D3" s="162"/>
      <c r="E3" s="162"/>
      <c r="F3" s="162"/>
      <c r="G3" s="162"/>
      <c r="H3" s="162"/>
      <c r="I3" s="162"/>
      <c r="J3" s="162"/>
      <c r="K3" s="414"/>
      <c r="L3" s="414"/>
      <c r="M3" s="414"/>
      <c r="N3" s="414"/>
      <c r="O3" s="414"/>
      <c r="P3" s="414"/>
      <c r="Q3" s="414"/>
    </row>
    <row r="4" spans="1:17" ht="21" customHeight="1">
      <c r="A4" s="158" t="s">
        <v>669</v>
      </c>
      <c r="B4" s="158" t="s">
        <v>667</v>
      </c>
      <c r="C4" s="243" t="str">
        <f>IF(Input!C3="","",Input!C3)</f>
        <v/>
      </c>
      <c r="D4" s="162"/>
      <c r="E4" s="162"/>
      <c r="F4" s="162"/>
      <c r="G4" s="162"/>
      <c r="H4" s="162"/>
      <c r="I4" s="162"/>
      <c r="J4" s="162"/>
      <c r="K4" s="410" t="s">
        <v>1169</v>
      </c>
      <c r="L4" s="410"/>
      <c r="M4" s="410"/>
      <c r="N4" s="410"/>
      <c r="O4" s="410"/>
      <c r="P4" s="410"/>
      <c r="Q4" s="410"/>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IF(INDEX(Input!D:D,$T$37)="","",INDEX(Input!D:D,$T$37))</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12"/>
      <c r="L8" s="412"/>
      <c r="M8" s="412"/>
      <c r="N8" s="412"/>
      <c r="O8" s="163"/>
      <c r="P8" s="163"/>
      <c r="Q8" s="163"/>
    </row>
    <row r="9" spans="1:17" ht="21" customHeight="1">
      <c r="A9" s="158" t="s">
        <v>672</v>
      </c>
      <c r="B9" s="158" t="s">
        <v>667</v>
      </c>
      <c r="C9" s="381">
        <v>1</v>
      </c>
      <c r="D9" s="162"/>
      <c r="E9" s="162"/>
      <c r="F9" s="162"/>
      <c r="G9" s="162"/>
      <c r="H9" s="162"/>
      <c r="I9" s="162"/>
      <c r="J9" s="162"/>
      <c r="K9" s="412"/>
      <c r="L9" s="412"/>
      <c r="M9" s="412"/>
      <c r="N9" s="412"/>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12"/>
      <c r="L10" s="412"/>
      <c r="M10" s="412"/>
      <c r="N10" s="412"/>
      <c r="O10" s="163"/>
      <c r="P10" s="163"/>
      <c r="Q10" s="163"/>
    </row>
    <row r="11" spans="1:17" ht="21" customHeight="1">
      <c r="A11" s="158" t="s">
        <v>674</v>
      </c>
      <c r="B11" s="162" t="s">
        <v>667</v>
      </c>
      <c r="C11" s="244">
        <f>1000</f>
        <v>1000</v>
      </c>
      <c r="D11" s="162"/>
      <c r="E11" s="162"/>
      <c r="F11" s="162"/>
      <c r="G11" s="162"/>
      <c r="H11" s="162"/>
      <c r="I11" s="162"/>
      <c r="J11" s="162"/>
      <c r="K11" s="14" t="s">
        <v>755</v>
      </c>
      <c r="L11" s="14" t="str">
        <f>IF(CSStatus101(INDEX(Input!A:M,$T$37,0),Input!C3,Input!F3)&lt;&gt;"OK",CSStatus101(INDEX(Input!A:M,$T$37,0),Input!C3,Input!F3),IF(NOT(ISNUMBER(C7)),"SELECT FIRE HOURS",IF(C7&lt;=0,"CHECK COVER TABLE",IF(NOT(ISNUMBER(C10)),"CHECK BAR / LAYERS / DEPTH","OK"))))</f>
        <v>ENTER SPAN AND THICKNESS</v>
      </c>
      <c r="M11" s="14"/>
      <c r="N11" s="14"/>
      <c r="O11" s="163"/>
      <c r="P11" s="163"/>
      <c r="Q11" s="163"/>
    </row>
    <row r="12" spans="1:17" ht="25.05" customHeight="1">
      <c r="A12" s="169" t="s">
        <v>675</v>
      </c>
      <c r="B12" s="170"/>
      <c r="C12" s="171"/>
      <c r="D12" s="170"/>
      <c r="E12" s="170"/>
      <c r="F12" s="170"/>
      <c r="G12" s="170"/>
      <c r="H12" s="170"/>
      <c r="I12" s="170"/>
      <c r="J12" s="162"/>
      <c r="K12" s="418" t="s">
        <v>1176</v>
      </c>
      <c r="L12" s="418"/>
      <c r="M12" s="418"/>
      <c r="N12" s="418"/>
      <c r="O12" s="418"/>
      <c r="P12" s="418"/>
      <c r="Q12" s="418"/>
    </row>
    <row r="13" spans="1:17" ht="21" customHeight="1">
      <c r="A13" s="158" t="s">
        <v>676</v>
      </c>
      <c r="B13" s="158" t="s">
        <v>667</v>
      </c>
      <c r="C13" s="246" t="str">
        <f>IF(ISNUMBER(C6),24.5*C6/1000,"")</f>
        <v/>
      </c>
      <c r="D13" s="162"/>
      <c r="E13" s="162"/>
      <c r="F13" s="162"/>
      <c r="G13" s="162"/>
      <c r="H13" s="162"/>
      <c r="I13" s="162"/>
      <c r="J13" s="162"/>
      <c r="K13" s="418"/>
      <c r="L13" s="418"/>
      <c r="M13" s="418"/>
      <c r="N13" s="418"/>
      <c r="O13" s="418"/>
      <c r="P13" s="418"/>
      <c r="Q13" s="418"/>
    </row>
    <row r="14" spans="1:17" ht="21" customHeight="1">
      <c r="A14" s="158" t="s">
        <v>212</v>
      </c>
      <c r="B14" s="158" t="s">
        <v>667</v>
      </c>
      <c r="C14" s="247" t="str">
        <f>IF(INDEX(Input!H:H,$T$37)="","",INDEX(Input!H:H,$T$37))</f>
        <v/>
      </c>
      <c r="D14" s="162"/>
      <c r="E14" s="162"/>
      <c r="F14" s="162"/>
      <c r="G14" s="162"/>
      <c r="H14" s="162"/>
      <c r="I14" s="162"/>
      <c r="J14" s="162"/>
      <c r="K14" s="418" t="s">
        <v>1170</v>
      </c>
      <c r="L14" s="418"/>
      <c r="M14" s="418"/>
      <c r="N14" s="418"/>
      <c r="O14" s="163"/>
      <c r="P14" s="163"/>
      <c r="Q14" s="163"/>
    </row>
    <row r="15" spans="1:17" ht="21" customHeight="1">
      <c r="A15" s="158" t="s">
        <v>677</v>
      </c>
      <c r="B15" s="158" t="s">
        <v>667</v>
      </c>
      <c r="C15" s="247" t="str">
        <f>IF(INDEX(Input!I:I,$T$37)="","",INDEX(Input!I:I,$T$37))</f>
        <v/>
      </c>
      <c r="D15" s="162"/>
      <c r="E15" s="162"/>
      <c r="F15" s="162"/>
      <c r="G15" s="162"/>
      <c r="H15" s="162"/>
      <c r="I15" s="162"/>
      <c r="J15" s="162"/>
      <c r="K15" s="418"/>
      <c r="L15" s="418"/>
      <c r="M15" s="418"/>
      <c r="N15" s="418"/>
      <c r="O15" s="163"/>
      <c r="P15" s="163"/>
      <c r="Q15" s="163"/>
    </row>
    <row r="16" spans="1:17" ht="21" customHeight="1">
      <c r="A16" s="158" t="s">
        <v>776</v>
      </c>
      <c r="B16" s="162" t="s">
        <v>901</v>
      </c>
      <c r="C16" s="246" t="str">
        <f>IF(INDEX(Input!G:G,$T$37)="","",INDEX(Input!G:G,$T$37))</f>
        <v/>
      </c>
      <c r="D16" s="162"/>
      <c r="E16" s="162"/>
      <c r="F16" s="162"/>
      <c r="G16" s="162"/>
      <c r="H16" s="162"/>
      <c r="I16" s="162"/>
      <c r="J16" s="162"/>
      <c r="K16" s="418"/>
      <c r="L16" s="418"/>
      <c r="M16" s="418"/>
      <c r="N16" s="418"/>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8" t="s">
        <v>758</v>
      </c>
      <c r="L18" s="418"/>
      <c r="M18" s="418"/>
      <c r="N18" s="418"/>
      <c r="O18" s="163"/>
      <c r="P18" s="163"/>
      <c r="Q18" s="163"/>
    </row>
    <row r="19" spans="1:17" ht="9" customHeight="1">
      <c r="A19" s="158"/>
      <c r="B19" s="162"/>
      <c r="C19" s="158"/>
      <c r="D19" s="162"/>
      <c r="E19" s="162"/>
      <c r="F19" s="162"/>
      <c r="G19" s="162"/>
      <c r="H19" s="162"/>
      <c r="I19" s="162"/>
      <c r="J19" s="162"/>
      <c r="K19" s="418"/>
      <c r="L19" s="418"/>
      <c r="M19" s="418"/>
      <c r="N19" s="418"/>
      <c r="O19" s="163"/>
      <c r="P19" s="163"/>
      <c r="Q19" s="163"/>
    </row>
    <row r="20" spans="1:17" ht="9" customHeight="1">
      <c r="A20" s="482" t="s">
        <v>680</v>
      </c>
      <c r="B20" s="482"/>
      <c r="C20" s="482"/>
      <c r="D20" s="482"/>
      <c r="E20" s="482"/>
      <c r="F20" s="482"/>
      <c r="G20" s="482"/>
      <c r="H20" s="482"/>
      <c r="I20" s="482"/>
      <c r="J20" s="162" t="s">
        <v>681</v>
      </c>
      <c r="K20" s="163"/>
      <c r="L20" s="163"/>
      <c r="M20" s="163"/>
      <c r="N20" s="163"/>
      <c r="O20" s="163"/>
      <c r="P20" s="163"/>
      <c r="Q20" s="163"/>
    </row>
    <row r="21" spans="1:17" ht="25.05" customHeight="1">
      <c r="A21" s="482"/>
      <c r="B21" s="482"/>
      <c r="C21" s="482"/>
      <c r="D21" s="482"/>
      <c r="E21" s="482"/>
      <c r="F21" s="482"/>
      <c r="G21" s="482"/>
      <c r="H21" s="482"/>
      <c r="I21" s="482"/>
      <c r="J21" s="162"/>
      <c r="K21" s="481"/>
      <c r="L21" s="481"/>
      <c r="M21" s="481"/>
      <c r="N21" s="481"/>
      <c r="O21" s="481"/>
      <c r="P21" s="481"/>
      <c r="Q21" s="481"/>
    </row>
    <row r="22" spans="1:17" ht="21" customHeight="1">
      <c r="A22" s="467" t="s">
        <v>713</v>
      </c>
      <c r="B22" s="467" t="s">
        <v>667</v>
      </c>
      <c r="C22" s="159" t="str">
        <f>IF(ISNUMBER(D22),"wL2","")</f>
        <v/>
      </c>
      <c r="D22" s="479" t="str">
        <f>IF(L11&lt;&gt;"OK","",IF(ISNUMBER(C18),C18*(C2/1000)^2/2,""))</f>
        <v/>
      </c>
      <c r="E22" s="479"/>
      <c r="F22" s="479"/>
      <c r="G22" s="162"/>
      <c r="H22" s="162"/>
      <c r="I22" s="162"/>
      <c r="J22" s="162"/>
      <c r="K22" s="481"/>
      <c r="L22" s="481"/>
      <c r="M22" s="481"/>
      <c r="N22" s="481"/>
      <c r="O22" s="481"/>
      <c r="P22" s="481"/>
      <c r="Q22" s="481"/>
    </row>
    <row r="23" spans="1:17" ht="21" customHeight="1">
      <c r="A23" s="467"/>
      <c r="B23" s="467"/>
      <c r="C23" s="158" t="str">
        <f>IF(ISNUMBER(D22),2,"")</f>
        <v/>
      </c>
      <c r="D23" s="479"/>
      <c r="E23" s="479"/>
      <c r="F23" s="479"/>
      <c r="G23" s="162"/>
      <c r="H23" s="162"/>
      <c r="I23" s="162"/>
      <c r="J23" s="162"/>
      <c r="K23" s="481"/>
      <c r="L23" s="481"/>
      <c r="M23" s="481"/>
      <c r="N23" s="481"/>
      <c r="O23" s="481"/>
      <c r="P23" s="481"/>
      <c r="Q23" s="481"/>
    </row>
    <row r="24" spans="1:17" ht="21" customHeight="1">
      <c r="A24" s="467" t="s">
        <v>682</v>
      </c>
      <c r="B24" s="467" t="s">
        <v>667</v>
      </c>
      <c r="C24" s="159" t="s">
        <v>683</v>
      </c>
      <c r="D24" s="467" t="s">
        <v>667</v>
      </c>
      <c r="E24" s="483" t="str">
        <f>IF(COUNT(D22,C4,C11,C10)&lt;&gt;4,"",IF(MIN(C4,C11,C10)&gt;0,D22*1000000/C4/C11/C10^2,""))</f>
        <v/>
      </c>
      <c r="F24" s="480" t="str">
        <f>IF(ISNUMBER(E24),IF(E24&lt;G24,"&lt;","&gt;"),"")</f>
        <v/>
      </c>
      <c r="G24" s="467" t="str">
        <f>IF(ISNUMBER(C4),IF(C4&lt;=45,0.156,IF(C4&lt;70,0.12,0.094)),"")</f>
        <v/>
      </c>
      <c r="H24" s="162"/>
      <c r="I24" s="162"/>
      <c r="J24" s="162"/>
      <c r="K24" s="481"/>
      <c r="L24" s="481"/>
      <c r="M24" s="481"/>
      <c r="N24" s="481"/>
      <c r="O24" s="481"/>
      <c r="P24" s="481"/>
      <c r="Q24" s="481"/>
    </row>
    <row r="25" spans="1:17" ht="21" customHeight="1">
      <c r="A25" s="467"/>
      <c r="B25" s="467"/>
      <c r="C25" s="158" t="s">
        <v>981</v>
      </c>
      <c r="D25" s="467"/>
      <c r="E25" s="483"/>
      <c r="F25" s="480"/>
      <c r="G25" s="467"/>
      <c r="H25" s="162"/>
      <c r="I25" s="162"/>
      <c r="J25" s="162"/>
      <c r="K25" s="481"/>
      <c r="L25" s="481"/>
      <c r="M25" s="481"/>
      <c r="N25" s="481"/>
      <c r="O25" s="481"/>
      <c r="P25" s="481"/>
      <c r="Q25" s="481"/>
    </row>
    <row r="26" spans="1:17" ht="21" customHeight="1">
      <c r="A26" s="158"/>
      <c r="B26" s="158"/>
      <c r="C26" s="158"/>
      <c r="D26" s="158"/>
      <c r="E26" s="160"/>
      <c r="F26" s="158"/>
      <c r="G26" s="162"/>
      <c r="H26" s="162"/>
      <c r="I26" s="162"/>
      <c r="J26" s="162"/>
      <c r="K26" s="478" t="s">
        <v>1173</v>
      </c>
      <c r="L26" s="418"/>
      <c r="M26" s="418"/>
      <c r="N26" s="418"/>
      <c r="O26" s="418"/>
      <c r="P26" s="418"/>
      <c r="Q26" s="418"/>
    </row>
    <row r="27" spans="1:17" ht="21" customHeight="1">
      <c r="A27" s="158" t="s">
        <v>684</v>
      </c>
      <c r="B27" s="158" t="s">
        <v>667</v>
      </c>
      <c r="C27" s="467" t="s">
        <v>982</v>
      </c>
      <c r="D27" s="467"/>
      <c r="E27" s="467"/>
      <c r="F27" s="249" t="str">
        <f>IF(ISNUMBER(E24),IF(AND(E24&gt;=0,E24&lt;=0.225),0.5+SQRT(0.25-E24/0.9),""),"")</f>
        <v/>
      </c>
      <c r="G27" s="250" t="str">
        <f>IF(ISNUMBER(F27),IF(F27&lt;H27,"&lt;","&gt;"),"")</f>
        <v/>
      </c>
      <c r="H27" s="165">
        <v>0.95</v>
      </c>
      <c r="I27" s="162"/>
      <c r="J27" s="162"/>
      <c r="K27" s="418"/>
      <c r="L27" s="418"/>
      <c r="M27" s="418"/>
      <c r="N27" s="418"/>
      <c r="O27" s="418"/>
      <c r="P27" s="418"/>
      <c r="Q27" s="418"/>
    </row>
    <row r="28" spans="1:17" ht="21" customHeight="1">
      <c r="A28" s="158"/>
      <c r="B28" s="162"/>
      <c r="C28" s="158"/>
      <c r="D28" s="162"/>
      <c r="E28" s="162"/>
      <c r="F28" s="162"/>
      <c r="G28" s="162"/>
      <c r="H28" s="162"/>
      <c r="I28" s="162"/>
      <c r="J28" s="162"/>
      <c r="K28" s="418"/>
      <c r="L28" s="418"/>
      <c r="M28" s="418"/>
      <c r="N28" s="418"/>
      <c r="O28" s="418"/>
      <c r="P28" s="418"/>
      <c r="Q28" s="418"/>
    </row>
    <row r="29" spans="1:17" ht="21" customHeight="1">
      <c r="A29" s="467" t="s">
        <v>983</v>
      </c>
      <c r="B29" s="467" t="s">
        <v>667</v>
      </c>
      <c r="C29" s="159" t="s">
        <v>683</v>
      </c>
      <c r="D29" s="467" t="s">
        <v>667</v>
      </c>
      <c r="E29" s="468" t="str">
        <f>IF(COUNT(D22,C5,F27,C10)&lt;&gt;4,"",IF(MIN(C5,F27,C10)&gt;0,D22*1000000/(0.87*C5*MIN(F27,H27)*C10),""))</f>
        <v/>
      </c>
      <c r="F29" s="467" t="s">
        <v>984</v>
      </c>
      <c r="G29" s="162"/>
      <c r="H29" s="162"/>
      <c r="I29" s="162"/>
      <c r="J29" s="162"/>
      <c r="K29" s="418" t="s">
        <v>993</v>
      </c>
      <c r="L29" s="418"/>
      <c r="M29" s="418"/>
      <c r="N29" s="418"/>
      <c r="O29" s="418"/>
      <c r="P29" s="418"/>
      <c r="Q29" s="418"/>
    </row>
    <row r="30" spans="1:17" ht="21" customHeight="1">
      <c r="A30" s="467"/>
      <c r="B30" s="467"/>
      <c r="C30" s="158" t="s">
        <v>985</v>
      </c>
      <c r="D30" s="467"/>
      <c r="E30" s="468"/>
      <c r="F30" s="467"/>
      <c r="G30" s="162"/>
      <c r="H30" s="162"/>
      <c r="I30" s="162"/>
      <c r="J30" s="162"/>
      <c r="K30" s="418"/>
      <c r="L30" s="418"/>
      <c r="M30" s="418"/>
      <c r="N30" s="418"/>
      <c r="O30" s="418"/>
      <c r="P30" s="418"/>
      <c r="Q30" s="418"/>
    </row>
    <row r="31" spans="1:17" ht="21" customHeight="1">
      <c r="A31" s="158"/>
      <c r="B31" s="162"/>
      <c r="C31" s="158"/>
      <c r="D31" s="162"/>
      <c r="E31" s="162"/>
      <c r="F31" s="162"/>
      <c r="G31" s="162"/>
      <c r="H31" s="162"/>
      <c r="I31" s="162"/>
      <c r="J31" s="162"/>
      <c r="K31" s="418"/>
      <c r="L31" s="418"/>
      <c r="M31" s="418"/>
      <c r="N31" s="418"/>
      <c r="O31" s="418"/>
      <c r="P31" s="418"/>
      <c r="Q31" s="418"/>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8"/>
      <c r="L32" s="418"/>
      <c r="M32" s="418"/>
      <c r="N32" s="418"/>
      <c r="O32" s="418"/>
      <c r="P32" s="418"/>
      <c r="Q32" s="418"/>
    </row>
    <row r="33" spans="1:20" ht="21" customHeight="1">
      <c r="A33" s="166"/>
      <c r="B33" s="162"/>
      <c r="C33" s="158"/>
      <c r="D33" s="162"/>
      <c r="E33" s="162"/>
      <c r="F33" s="158"/>
      <c r="G33" s="162"/>
      <c r="H33" s="162"/>
      <c r="I33" s="162"/>
      <c r="J33" s="162"/>
      <c r="K33" s="163"/>
      <c r="L33" s="163"/>
      <c r="M33" s="163"/>
      <c r="N33" s="163"/>
      <c r="O33" s="163"/>
      <c r="P33" s="163"/>
      <c r="Q33" s="163"/>
    </row>
    <row r="34" spans="1:20"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20" ht="21" customHeight="1">
      <c r="A35" s="166" t="s">
        <v>1168</v>
      </c>
      <c r="B35" s="162"/>
      <c r="C35" s="158"/>
      <c r="D35" s="162"/>
      <c r="E35" s="162"/>
      <c r="F35" s="379">
        <v>12</v>
      </c>
      <c r="G35" s="161" t="s">
        <v>688</v>
      </c>
      <c r="H35" s="380">
        <v>100</v>
      </c>
      <c r="I35" s="251">
        <f>IF(COUNT(F35,H35)&lt;&gt;2,"",IF(MIN(F35,H35)&gt;0,F35^2*PI()/4*1000/H35,""))</f>
        <v>1130.9733552923256</v>
      </c>
      <c r="J35" s="162"/>
      <c r="K35" s="163"/>
      <c r="L35" s="163"/>
      <c r="M35" s="163"/>
      <c r="N35" s="163"/>
      <c r="O35" s="163"/>
      <c r="P35" s="163"/>
      <c r="Q35" s="163"/>
    </row>
    <row r="36" spans="1:20" ht="9" customHeight="1">
      <c r="A36" s="164"/>
      <c r="B36" s="162"/>
      <c r="C36" s="158"/>
      <c r="D36" s="162"/>
      <c r="E36" s="162"/>
      <c r="F36" s="162"/>
      <c r="G36" s="167"/>
      <c r="H36" s="161"/>
      <c r="I36" s="161"/>
      <c r="J36" s="162"/>
      <c r="K36" s="163"/>
      <c r="L36" s="163"/>
      <c r="M36" s="163"/>
      <c r="N36" s="163"/>
      <c r="O36" s="163"/>
      <c r="P36" s="163"/>
      <c r="Q36" s="163"/>
    </row>
    <row r="37" spans="1:20" ht="25.05" customHeight="1">
      <c r="A37" s="169" t="s">
        <v>689</v>
      </c>
      <c r="B37" s="170"/>
      <c r="C37" s="171"/>
      <c r="D37" s="170"/>
      <c r="E37" s="170"/>
      <c r="F37" s="170"/>
      <c r="G37" s="170"/>
      <c r="H37" s="170"/>
      <c r="I37" s="170"/>
      <c r="J37" s="162"/>
      <c r="K37" s="163"/>
      <c r="L37" s="163"/>
      <c r="M37" s="163"/>
      <c r="N37" s="163"/>
      <c r="O37" s="163"/>
      <c r="P37" s="163"/>
      <c r="Q37" s="163"/>
      <c r="T37" s="88">
        <v>125</v>
      </c>
    </row>
    <row r="38" spans="1:20" ht="21" customHeight="1">
      <c r="A38" s="158"/>
      <c r="B38" s="162"/>
      <c r="C38" s="158"/>
      <c r="D38" s="162"/>
      <c r="E38" s="162"/>
      <c r="F38" s="162"/>
      <c r="G38" s="162"/>
      <c r="H38" s="162"/>
      <c r="I38" s="162"/>
      <c r="J38" s="162"/>
      <c r="K38" s="163"/>
      <c r="L38" s="163"/>
      <c r="M38" s="163"/>
      <c r="N38" s="163"/>
      <c r="O38" s="163"/>
      <c r="P38" s="163"/>
      <c r="Q38" s="163"/>
    </row>
    <row r="39" spans="1:20" ht="21" customHeight="1">
      <c r="A39" s="158" t="s">
        <v>690</v>
      </c>
      <c r="B39" s="158" t="s">
        <v>667</v>
      </c>
      <c r="C39" s="158">
        <f>IF(C3="Simply-supported",20,IF(C3="End span",23,IF(C3="Continuous",26,IF(C3="Cantilever",7,""))))</f>
        <v>7</v>
      </c>
      <c r="D39" s="162" t="str">
        <f>IF(C3="","","("&amp;C3&amp;" Slab)")</f>
        <v>(Cantilever Slab)</v>
      </c>
      <c r="E39" s="162"/>
      <c r="F39" s="162"/>
      <c r="G39" s="162"/>
      <c r="H39" s="162"/>
      <c r="I39" s="158" t="s">
        <v>691</v>
      </c>
      <c r="J39" s="162"/>
      <c r="K39" s="163"/>
      <c r="L39" s="163"/>
      <c r="M39" s="163"/>
      <c r="N39" s="163"/>
      <c r="O39" s="163"/>
      <c r="P39" s="163"/>
      <c r="Q39" s="163"/>
    </row>
    <row r="40" spans="1:20" ht="21" customHeight="1">
      <c r="A40" s="159" t="s">
        <v>683</v>
      </c>
      <c r="B40" s="467" t="s">
        <v>667</v>
      </c>
      <c r="C40" s="471" t="str">
        <f>IF(COUNT(D22,C10)=2,D22*1000000/1000/C10^2,"")</f>
        <v/>
      </c>
      <c r="D40" s="162"/>
      <c r="E40" s="162"/>
      <c r="F40" s="162"/>
      <c r="G40" s="162"/>
      <c r="H40" s="162"/>
      <c r="I40" s="162"/>
      <c r="J40" s="162"/>
      <c r="K40" s="163"/>
      <c r="L40" s="163"/>
      <c r="M40" s="163"/>
      <c r="N40" s="163"/>
      <c r="O40" s="163"/>
      <c r="P40" s="163"/>
      <c r="Q40" s="163"/>
    </row>
    <row r="41" spans="1:20" ht="21" customHeight="1">
      <c r="A41" s="158" t="s">
        <v>986</v>
      </c>
      <c r="B41" s="467"/>
      <c r="C41" s="471"/>
      <c r="D41" s="162"/>
      <c r="E41" s="162"/>
      <c r="F41" s="162"/>
      <c r="G41" s="162"/>
      <c r="H41" s="162"/>
      <c r="I41" s="162"/>
      <c r="J41" s="162"/>
      <c r="K41" s="162"/>
      <c r="L41" s="162"/>
      <c r="M41" s="162"/>
      <c r="N41" s="162"/>
      <c r="O41" s="162"/>
      <c r="P41" s="162"/>
      <c r="Q41" s="162"/>
    </row>
    <row r="42" spans="1:20" ht="21" customHeight="1">
      <c r="A42" s="467" t="s">
        <v>987</v>
      </c>
      <c r="B42" s="467" t="s">
        <v>667</v>
      </c>
      <c r="C42" s="159" t="s">
        <v>988</v>
      </c>
      <c r="D42" s="467" t="s">
        <v>667</v>
      </c>
      <c r="E42" s="468" t="str">
        <f>IF(COUNT(C5,F34,I35)&lt;&gt;3,"",IF(I35&gt;0,2*C5*F34/(3*I35),""))</f>
        <v/>
      </c>
      <c r="F42" s="162"/>
      <c r="G42" s="162"/>
      <c r="H42" s="162"/>
      <c r="I42" s="162"/>
      <c r="J42" s="162"/>
      <c r="K42" s="162"/>
      <c r="L42" s="162"/>
      <c r="M42" s="162"/>
      <c r="N42" s="162"/>
      <c r="O42" s="162"/>
      <c r="P42" s="162"/>
      <c r="Q42" s="162"/>
    </row>
    <row r="43" spans="1:20" ht="21" customHeight="1">
      <c r="A43" s="467"/>
      <c r="B43" s="467"/>
      <c r="C43" s="158" t="s">
        <v>989</v>
      </c>
      <c r="D43" s="467"/>
      <c r="E43" s="468"/>
      <c r="F43" s="162"/>
      <c r="G43" s="162"/>
      <c r="H43" s="162"/>
      <c r="I43" s="162"/>
      <c r="J43" s="162"/>
      <c r="K43" s="162"/>
      <c r="L43" s="162"/>
      <c r="M43" s="162"/>
      <c r="N43" s="162"/>
      <c r="O43" s="162"/>
      <c r="P43" s="162"/>
      <c r="Q43" s="162"/>
    </row>
    <row r="44" spans="1:20"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20"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20"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20" ht="9" customHeight="1">
      <c r="A47" s="158"/>
      <c r="B47" s="162"/>
      <c r="C47" s="158"/>
      <c r="D47" s="162"/>
      <c r="E47" s="162"/>
      <c r="F47" s="162"/>
      <c r="G47" s="162"/>
      <c r="H47" s="162"/>
      <c r="I47" s="162"/>
      <c r="J47" s="162"/>
      <c r="K47" s="162"/>
      <c r="L47" s="162"/>
      <c r="M47" s="162"/>
      <c r="N47" s="162"/>
      <c r="O47" s="162"/>
      <c r="P47" s="162"/>
      <c r="Q47" s="162"/>
    </row>
    <row r="48" spans="1:20" ht="21" customHeight="1">
      <c r="A48" s="158"/>
      <c r="B48" s="162"/>
      <c r="C48" s="158"/>
      <c r="D48" s="162"/>
      <c r="E48" s="162"/>
      <c r="F48" s="162"/>
      <c r="G48" s="162"/>
      <c r="H48" s="162"/>
      <c r="I48" s="162"/>
      <c r="J48" s="162"/>
      <c r="K48" s="162"/>
      <c r="L48" s="162"/>
      <c r="M48" s="162"/>
      <c r="N48" s="162"/>
      <c r="O48" s="162"/>
      <c r="P48" s="162"/>
      <c r="Q48" s="162"/>
    </row>
    <row r="49" spans="1:17" ht="21" customHeight="1">
      <c r="A49" s="467" t="s">
        <v>1174</v>
      </c>
      <c r="B49" s="467"/>
      <c r="C49" s="467"/>
      <c r="D49" s="467"/>
      <c r="E49" s="467"/>
      <c r="F49" s="467"/>
      <c r="G49" s="467"/>
      <c r="H49" s="467"/>
      <c r="I49" s="467"/>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4" t="str">
        <f>IF(C2="","",C2)</f>
        <v/>
      </c>
      <c r="D55" s="474"/>
      <c r="E55" s="474"/>
      <c r="F55" s="474"/>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t="s">
        <v>1175</v>
      </c>
      <c r="B57" s="162"/>
      <c r="C57" s="382">
        <v>12</v>
      </c>
      <c r="D57" s="473">
        <v>200</v>
      </c>
      <c r="E57" s="473"/>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5" t="s">
        <v>697</v>
      </c>
      <c r="B60" s="475"/>
      <c r="C60" s="475"/>
      <c r="D60" s="475"/>
      <c r="E60" s="475"/>
      <c r="F60" s="475"/>
      <c r="G60" s="475"/>
      <c r="H60" s="475"/>
      <c r="I60" s="475"/>
      <c r="J60" s="162"/>
      <c r="K60" s="162"/>
      <c r="L60" s="162"/>
      <c r="M60" s="162"/>
      <c r="N60" s="162"/>
      <c r="O60" s="162"/>
      <c r="P60" s="162"/>
      <c r="Q60" s="162"/>
    </row>
    <row r="61" spans="1:17" ht="21" customHeight="1">
      <c r="A61" s="469" t="s">
        <v>698</v>
      </c>
      <c r="B61" s="469"/>
      <c r="C61" s="469"/>
      <c r="D61" s="469"/>
      <c r="E61" s="469"/>
      <c r="F61" s="168" t="str">
        <f>C3</f>
        <v>Cantilever</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0"/>
      <c r="C63" s="470"/>
      <c r="D63" s="470"/>
      <c r="E63" s="470"/>
      <c r="F63" s="188" t="str">
        <f>IF(F74="OK",C18*C11/1000,"")</f>
        <v/>
      </c>
      <c r="G63" s="469" t="s">
        <v>350</v>
      </c>
      <c r="H63" s="470"/>
      <c r="I63" s="470"/>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6" t="str">
        <f>IF(F74&lt;&gt;"OK","",F63*F64)</f>
        <v/>
      </c>
      <c r="E65" s="476"/>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77" t="str">
        <f>IF(F74&lt;&gt;"OK",F74,IF(NOT(ISNUMBER(D65)),"ENTER V: non-simple support or two-way slab",IF(F71&gt;F72,"NOT OKAY - maximum shear stress exceeded",IF(F71&lt;F70,"v &lt; vc: OKAY - no links required","v &gt;= vc: shear reinforcement / section redesign required"))))</f>
        <v>ENTER SPAN AND THICKNESS</v>
      </c>
      <c r="B73" s="477"/>
      <c r="C73" s="477"/>
      <c r="D73" s="477"/>
      <c r="E73" s="477"/>
      <c r="F73" s="477"/>
      <c r="G73" s="477"/>
      <c r="H73" s="477"/>
      <c r="I73" s="477"/>
      <c r="J73" s="162"/>
      <c r="K73" s="162"/>
      <c r="L73" s="162"/>
      <c r="M73" s="162"/>
      <c r="N73" s="162"/>
      <c r="O73" s="162"/>
      <c r="P73" s="162"/>
      <c r="Q73" s="162"/>
    </row>
    <row r="74" spans="1:17" ht="21" customHeight="1">
      <c r="A74" s="477" t="s">
        <v>708</v>
      </c>
      <c r="B74" s="477"/>
      <c r="C74" s="477"/>
      <c r="D74" s="477"/>
      <c r="E74" s="477"/>
      <c r="F74" s="477"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ENTER SPAN AND THICKNESS</v>
      </c>
      <c r="G74" s="477"/>
      <c r="H74" s="477"/>
      <c r="I74" s="477"/>
      <c r="J74" s="162"/>
      <c r="K74" s="162"/>
      <c r="L74" s="162"/>
      <c r="M74" s="162"/>
      <c r="N74" s="162"/>
      <c r="O74" s="162"/>
      <c r="P74" s="162"/>
      <c r="Q74" s="162"/>
    </row>
    <row r="75" spans="1:17" ht="21" customHeight="1">
      <c r="A75" s="477" t="s">
        <v>1171</v>
      </c>
      <c r="B75" s="477"/>
      <c r="C75" s="477"/>
      <c r="D75" s="477"/>
      <c r="E75" s="477"/>
      <c r="F75" s="477"/>
      <c r="G75" s="477"/>
      <c r="H75" s="477"/>
      <c r="I75" s="477"/>
      <c r="J75" s="162"/>
      <c r="K75" s="162"/>
      <c r="L75" s="162"/>
      <c r="M75" s="162"/>
      <c r="N75" s="162"/>
      <c r="O75" s="162"/>
      <c r="P75" s="162"/>
      <c r="Q75" s="162"/>
    </row>
    <row r="76" spans="1:17" ht="21" customHeight="1">
      <c r="A76" s="477" t="s">
        <v>709</v>
      </c>
      <c r="B76" s="477"/>
      <c r="C76" s="477"/>
      <c r="D76" s="477"/>
      <c r="E76" s="477"/>
      <c r="F76" s="477"/>
      <c r="G76" s="477"/>
      <c r="H76" s="477"/>
      <c r="I76" s="477"/>
      <c r="J76" s="162"/>
      <c r="K76" s="162"/>
      <c r="L76" s="162"/>
      <c r="M76" s="162"/>
      <c r="N76" s="162"/>
      <c r="O76" s="162"/>
      <c r="P76" s="162"/>
      <c r="Q76" s="162"/>
    </row>
    <row r="77" spans="1:17" ht="21" customHeight="1">
      <c r="A77" s="477" t="s">
        <v>710</v>
      </c>
      <c r="B77" s="477"/>
      <c r="C77" s="477"/>
      <c r="D77" s="477"/>
      <c r="E77" s="477"/>
      <c r="F77" s="477"/>
      <c r="G77" s="477"/>
      <c r="H77" s="477"/>
      <c r="I77" s="477"/>
      <c r="J77" s="162"/>
      <c r="K77" s="162"/>
      <c r="L77" s="162"/>
      <c r="M77" s="162"/>
      <c r="N77" s="162"/>
      <c r="O77" s="162"/>
      <c r="P77" s="162"/>
      <c r="Q77" s="162"/>
    </row>
    <row r="78" spans="1:17" ht="21" customHeight="1">
      <c r="A78" s="477" t="s">
        <v>711</v>
      </c>
      <c r="B78" s="477"/>
      <c r="C78" s="477"/>
      <c r="D78" s="477"/>
      <c r="E78" s="477"/>
      <c r="F78" s="477"/>
      <c r="G78" s="477"/>
      <c r="H78" s="477"/>
      <c r="I78" s="477"/>
      <c r="J78" s="162"/>
      <c r="K78" s="162"/>
      <c r="L78" s="162"/>
      <c r="M78" s="162"/>
      <c r="N78" s="162"/>
      <c r="O78" s="162"/>
      <c r="P78" s="162"/>
      <c r="Q78" s="162"/>
    </row>
    <row r="79" spans="1:17" ht="21" customHeight="1">
      <c r="A79" s="477" t="s">
        <v>712</v>
      </c>
      <c r="B79" s="477"/>
      <c r="C79" s="477"/>
      <c r="D79" s="477"/>
      <c r="E79" s="477"/>
      <c r="F79" s="477"/>
      <c r="G79" s="477"/>
      <c r="H79" s="477"/>
      <c r="I79" s="477"/>
      <c r="J79" s="162"/>
      <c r="K79" s="162"/>
      <c r="L79" s="162"/>
      <c r="M79" s="162"/>
      <c r="N79" s="162"/>
      <c r="O79" s="162"/>
      <c r="P79" s="162"/>
      <c r="Q79" s="162"/>
    </row>
  </sheetData>
  <mergeCells count="64">
    <mergeCell ref="A78:I78"/>
    <mergeCell ref="A79:I79"/>
    <mergeCell ref="A49:I49"/>
    <mergeCell ref="A73:I73"/>
    <mergeCell ref="A74:E74"/>
    <mergeCell ref="F74:I74"/>
    <mergeCell ref="A75:I75"/>
    <mergeCell ref="A76:I76"/>
    <mergeCell ref="A77:I77"/>
    <mergeCell ref="A70:E70"/>
    <mergeCell ref="G70:I70"/>
    <mergeCell ref="A71:E71"/>
    <mergeCell ref="G71:I71"/>
    <mergeCell ref="A72:E72"/>
    <mergeCell ref="G72:I72"/>
    <mergeCell ref="A66:E66"/>
    <mergeCell ref="G66:I66"/>
    <mergeCell ref="A67:E67"/>
    <mergeCell ref="G67:I67"/>
    <mergeCell ref="A68:E68"/>
    <mergeCell ref="A69:E69"/>
    <mergeCell ref="A63:E63"/>
    <mergeCell ref="G63:I63"/>
    <mergeCell ref="A64:E64"/>
    <mergeCell ref="G64:I64"/>
    <mergeCell ref="A65:C65"/>
    <mergeCell ref="D65:E65"/>
    <mergeCell ref="C55:F55"/>
    <mergeCell ref="D57:E57"/>
    <mergeCell ref="A60:I60"/>
    <mergeCell ref="A61:E61"/>
    <mergeCell ref="A62:E62"/>
    <mergeCell ref="G62:I62"/>
    <mergeCell ref="E42:E43"/>
    <mergeCell ref="G24:G25"/>
    <mergeCell ref="K26:Q28"/>
    <mergeCell ref="C27:E27"/>
    <mergeCell ref="A29:A30"/>
    <mergeCell ref="B29:B30"/>
    <mergeCell ref="D29:D30"/>
    <mergeCell ref="E29:E30"/>
    <mergeCell ref="F29:F30"/>
    <mergeCell ref="K29:Q32"/>
    <mergeCell ref="B40:B41"/>
    <mergeCell ref="C40:C41"/>
    <mergeCell ref="A42:A43"/>
    <mergeCell ref="B42:B43"/>
    <mergeCell ref="D42:D43"/>
    <mergeCell ref="A20:I21"/>
    <mergeCell ref="K21:Q25"/>
    <mergeCell ref="A22:A23"/>
    <mergeCell ref="B22:B23"/>
    <mergeCell ref="D22:F23"/>
    <mergeCell ref="A24:A25"/>
    <mergeCell ref="B24:B25"/>
    <mergeCell ref="D24:D25"/>
    <mergeCell ref="E24:E25"/>
    <mergeCell ref="F24:F25"/>
    <mergeCell ref="K18:N19"/>
    <mergeCell ref="K1:Q3"/>
    <mergeCell ref="K4:Q4"/>
    <mergeCell ref="K8:N10"/>
    <mergeCell ref="K12:Q13"/>
    <mergeCell ref="K14:N16"/>
  </mergeCells>
  <phoneticPr fontId="10" type="noConversion"/>
  <conditionalFormatting sqref="B73:I73">
    <cfRule type="expression" dxfId="15" priority="1">
      <formula>LEFT($A$73,8)="NOT OKAY"</formula>
    </cfRule>
  </conditionalFormatting>
  <conditionalFormatting sqref="A73:I73">
    <cfRule type="expression" dxfId="14"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BCFD-50BE-4EC2-87FA-25FA9A9002B5}">
  <sheetPr codeName="Sheet16">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10" t="s">
        <v>979</v>
      </c>
      <c r="C2" s="410"/>
      <c r="D2" s="410"/>
      <c r="E2" s="410"/>
      <c r="F2" s="410"/>
      <c r="G2" s="410"/>
      <c r="H2" s="410"/>
      <c r="I2" s="410"/>
      <c r="J2" s="410"/>
      <c r="K2" s="410"/>
      <c r="L2" s="410"/>
      <c r="M2" s="410"/>
      <c r="N2" s="410"/>
      <c r="O2" s="141"/>
    </row>
    <row r="3" spans="1:85" ht="15" customHeight="1">
      <c r="A3" s="116"/>
      <c r="B3" s="140"/>
      <c r="C3" s="140"/>
      <c r="D3" s="140"/>
      <c r="E3" s="140"/>
      <c r="F3" s="140"/>
      <c r="G3" s="140"/>
      <c r="H3" s="140"/>
      <c r="I3" s="140"/>
      <c r="J3" s="140"/>
      <c r="K3" s="140"/>
      <c r="L3" s="140"/>
      <c r="M3" s="140"/>
      <c r="N3" s="140"/>
      <c r="O3" s="116"/>
      <c r="R3" s="516" t="s">
        <v>749</v>
      </c>
      <c r="S3" s="516"/>
      <c r="T3" s="516"/>
      <c r="U3" s="516"/>
      <c r="V3" s="516"/>
      <c r="X3" s="495" t="s">
        <v>829</v>
      </c>
      <c r="Y3" s="495"/>
      <c r="Z3" s="495"/>
      <c r="AA3" s="495"/>
      <c r="AB3" s="495"/>
      <c r="AC3" s="495"/>
      <c r="AD3" s="495"/>
      <c r="AE3" s="495"/>
      <c r="AF3" s="495"/>
      <c r="AG3" s="495"/>
    </row>
    <row r="4" spans="1:85" ht="15" customHeight="1">
      <c r="A4" s="116"/>
      <c r="B4" s="140"/>
      <c r="C4" s="140"/>
      <c r="D4" s="140"/>
      <c r="E4" s="140"/>
      <c r="F4" s="140"/>
      <c r="G4" s="140"/>
      <c r="H4" s="140"/>
      <c r="I4" s="140"/>
      <c r="J4" s="140"/>
      <c r="K4" s="140"/>
      <c r="L4" s="140"/>
      <c r="M4" s="140"/>
      <c r="N4" s="140"/>
      <c r="O4" s="116"/>
      <c r="R4" s="516"/>
      <c r="S4" s="516"/>
      <c r="T4" s="516"/>
      <c r="U4" s="516"/>
      <c r="V4" s="516"/>
      <c r="X4" s="496"/>
      <c r="Y4" s="496"/>
      <c r="Z4" s="496"/>
      <c r="AA4" s="496"/>
      <c r="AB4" s="496"/>
      <c r="AC4" s="496"/>
      <c r="AD4" s="496"/>
      <c r="AE4" s="496"/>
      <c r="AF4" s="496"/>
      <c r="AG4" s="496"/>
    </row>
    <row r="5" spans="1:85" ht="24" customHeight="1">
      <c r="A5" s="116"/>
      <c r="B5" s="554" t="s">
        <v>1111</v>
      </c>
      <c r="C5" s="555"/>
      <c r="D5" s="555"/>
      <c r="E5" s="555"/>
      <c r="F5" s="555"/>
      <c r="G5" s="555"/>
      <c r="H5" s="555"/>
      <c r="I5" s="555"/>
      <c r="J5" s="412" t="str">
        <f>"Steel mode: "&amp;T16</f>
        <v>Steel mode: Auto</v>
      </c>
      <c r="K5" s="412"/>
      <c r="L5" s="412"/>
      <c r="M5" s="412"/>
      <c r="N5" s="412"/>
      <c r="O5" s="116"/>
      <c r="R5" s="97"/>
      <c r="S5" s="96"/>
      <c r="T5" s="96"/>
      <c r="U5" s="96"/>
      <c r="V5" s="96"/>
    </row>
    <row r="6" spans="1:85" ht="24" customHeight="1">
      <c r="A6" s="116"/>
      <c r="B6" s="552" t="s">
        <v>1015</v>
      </c>
      <c r="C6" s="412"/>
      <c r="D6" s="412"/>
      <c r="E6" s="412"/>
      <c r="F6" s="412"/>
      <c r="G6" s="412"/>
      <c r="H6" s="412"/>
      <c r="I6" s="412"/>
      <c r="J6" s="412"/>
      <c r="K6" s="412"/>
      <c r="L6" s="412"/>
      <c r="M6" s="412"/>
      <c r="N6" s="412"/>
      <c r="O6" s="412"/>
      <c r="R6" s="97"/>
      <c r="S6" s="96"/>
      <c r="T6" s="96"/>
      <c r="U6" s="96"/>
      <c r="V6" s="96"/>
      <c r="X6" s="495" t="s">
        <v>759</v>
      </c>
      <c r="Y6" s="495"/>
      <c r="Z6" s="495"/>
      <c r="AA6" s="495"/>
      <c r="AB6" s="495" t="s">
        <v>760</v>
      </c>
      <c r="AC6" s="495"/>
      <c r="AD6" s="495"/>
      <c r="AE6" s="495" t="s">
        <v>761</v>
      </c>
      <c r="AF6" s="495"/>
      <c r="AG6" s="495"/>
    </row>
    <row r="7" spans="1:85" ht="7.95" customHeight="1">
      <c r="A7" s="116"/>
      <c r="B7" s="138"/>
      <c r="C7" s="138"/>
      <c r="D7" s="138"/>
      <c r="E7" s="138"/>
      <c r="F7" s="138"/>
      <c r="G7" s="138"/>
      <c r="H7" s="138"/>
      <c r="I7" s="138"/>
      <c r="J7" s="138"/>
      <c r="K7" s="138"/>
      <c r="L7" s="138"/>
      <c r="M7" s="138"/>
      <c r="N7" s="138"/>
      <c r="O7" s="116"/>
      <c r="R7" s="97"/>
      <c r="S7" s="96"/>
      <c r="T7" s="96"/>
      <c r="U7" s="96"/>
      <c r="V7" s="96"/>
      <c r="X7" s="496"/>
      <c r="Y7" s="496"/>
      <c r="Z7" s="496"/>
      <c r="AA7" s="496"/>
      <c r="AB7" s="496"/>
      <c r="AC7" s="496"/>
      <c r="AD7" s="496"/>
      <c r="AE7" s="496"/>
      <c r="AF7" s="496"/>
      <c r="AG7" s="496"/>
    </row>
    <row r="8" spans="1:85" s="76" customFormat="1" ht="19.5" customHeight="1">
      <c r="A8" s="132"/>
      <c r="B8"/>
      <c r="C8"/>
      <c r="D8"/>
      <c r="E8"/>
      <c r="F8"/>
      <c r="G8"/>
      <c r="H8"/>
      <c r="I8"/>
      <c r="J8"/>
      <c r="K8"/>
      <c r="L8"/>
      <c r="M8"/>
      <c r="N8"/>
      <c r="O8" s="132"/>
      <c r="R8" s="517" t="s">
        <v>752</v>
      </c>
      <c r="S8" s="517"/>
      <c r="T8" s="311">
        <v>40</v>
      </c>
      <c r="U8" s="97"/>
      <c r="V8" s="97"/>
      <c r="X8" s="515" t="s">
        <v>766</v>
      </c>
      <c r="Y8" s="515"/>
      <c r="Z8" s="515"/>
      <c r="AA8" s="515"/>
      <c r="AB8" s="512" t="str">
        <f>IFERROR(IF(IF(INDEX('_Input Engine'!$E$31:$E$50,MATCH(C9,'_Input Engine'!$A$31:$A$50,0))="None","No",IF(INDEX('_Input Engine'!$E$31:$E$50,MATCH(C9,'_Input Engine'!$A$31:$A$50,0))="","","Yes"))="","",IF(INDEX('_Input Engine'!$E$31:$E$50,MATCH(C9,'_Input Engine'!$A$31:$A$50,0))="None","No",IF(INDEX('_Input Engine'!$E$31:$E$50,MATCH(C9,'_Input Engine'!$A$31:$A$50,0))="","","Yes"))),"")</f>
        <v/>
      </c>
      <c r="AC8" s="513"/>
      <c r="AD8" s="513"/>
      <c r="AE8" s="512" t="str">
        <f>IFERROR(IF(IF(INDEX('_Input Engine'!$F$31:$F$50,MATCH(C9,'_Input Engine'!$A$31:$A$50,0))="None","No",IF(INDEX('_Input Engine'!$F$31:$F$50,MATCH(C9,'_Input Engine'!$A$31:$A$50,0))="","","Yes"))="","",IF(INDEX('_Input Engine'!$F$31:$F$50,MATCH(C9,'_Input Engine'!$A$31:$A$50,0))="None","No",IF(INDEX('_Input Engine'!$F$31:$F$50,MATCH(C9,'_Input Engine'!$A$31:$A$50,0))="","","Yes"))),"")</f>
        <v/>
      </c>
      <c r="AF8" s="513"/>
      <c r="AG8" s="513"/>
    </row>
    <row r="9" spans="1:85" s="76" customFormat="1" ht="19.5" customHeight="1">
      <c r="A9" s="132"/>
      <c r="B9" s="271" t="s">
        <v>567</v>
      </c>
      <c r="C9" s="518" t="str">
        <f>'_Input Engine'!I3</f>
        <v>SB1</v>
      </c>
      <c r="D9" s="519"/>
      <c r="E9" s="519"/>
      <c r="F9" s="519"/>
      <c r="G9" s="519"/>
      <c r="H9" s="519"/>
      <c r="I9" s="519"/>
      <c r="J9" s="519"/>
      <c r="K9" s="519"/>
      <c r="L9" s="519"/>
      <c r="M9" s="519"/>
      <c r="N9" s="519"/>
      <c r="O9" s="132"/>
      <c r="R9" s="517" t="s">
        <v>753</v>
      </c>
      <c r="S9" s="517"/>
      <c r="T9" s="312">
        <v>250</v>
      </c>
      <c r="U9" s="97"/>
      <c r="V9" s="97"/>
      <c r="X9" s="503"/>
      <c r="Y9" s="503"/>
      <c r="Z9" s="503"/>
      <c r="AA9" s="503"/>
      <c r="AB9" s="514"/>
      <c r="AC9" s="514"/>
      <c r="AD9" s="514"/>
      <c r="AE9" s="514"/>
      <c r="AF9" s="514"/>
      <c r="AG9" s="514"/>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R10" s="517" t="s">
        <v>754</v>
      </c>
      <c r="S10" s="517"/>
      <c r="T10" s="312">
        <v>150</v>
      </c>
      <c r="U10" s="96"/>
      <c r="V10" s="96"/>
      <c r="X10" s="494" t="s">
        <v>765</v>
      </c>
      <c r="Y10" s="494"/>
      <c r="Z10" s="494"/>
      <c r="AA10" s="494"/>
      <c r="AB10" s="510" t="str">
        <f>IFERROR(IF(INDEX('_Input Engine'!$G$11:$G$20,MATCH(INDEX('_Input Engine'!$E$31:$E$50,MATCH(C9,'_Input Engine'!$A$31:$A$50,0)),'_Input Engine'!$A$11:$A$20,0))="","",INDEX('_Input Engine'!$G$11:$G$20,MATCH(INDEX('_Input Engine'!$E$31:$E$50,MATCH(C9,'_Input Engine'!$A$31:$A$50,0)),'_Input Engine'!$A$11:$A$20,0))),"")</f>
        <v/>
      </c>
      <c r="AC10" s="511"/>
      <c r="AD10" s="511"/>
      <c r="AE10" s="510" t="str">
        <f>IFERROR(IF(INDEX('_Input Engine'!$G$11:$G$20,MATCH(INDEX('_Input Engine'!$F$31:$F$50,MATCH(C9,'_Input Engine'!$A$31:$A$50,0)),'_Input Engine'!$A$11:$A$20,0))="","",INDEX('_Input Engine'!$G$11:$G$20,MATCH(INDEX('_Input Engine'!$F$31:$F$50,MATCH(C9,'_Input Engine'!$A$31:$A$50,0)),'_Input Engine'!$A$11:$A$20,0))),"")</f>
        <v/>
      </c>
      <c r="AF10" s="511"/>
      <c r="AG10" s="511"/>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R11" s="517" t="s">
        <v>750</v>
      </c>
      <c r="S11" s="517"/>
      <c r="T11" s="312">
        <v>4</v>
      </c>
      <c r="U11" s="96"/>
      <c r="V11" s="96"/>
      <c r="X11" s="494"/>
      <c r="Y11" s="494"/>
      <c r="Z11" s="494"/>
      <c r="AA11" s="494"/>
      <c r="AB11" s="511"/>
      <c r="AC11" s="511"/>
      <c r="AD11" s="511"/>
      <c r="AE11" s="511"/>
      <c r="AF11" s="511"/>
      <c r="AG11" s="511"/>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t="str">
        <f>IFERROR(IF(INDEX('_Input Engine'!$B$31:$B$50,MATCH(C9,'_Input Engine'!$A$31:$A$50,0))="","",INDEX('_Input Engine'!$B$31:$B$50,MATCH(C9,'_Input Engine'!$A$31:$A$50,0))),"")</f>
        <v/>
      </c>
      <c r="H12" s="271" t="s">
        <v>574</v>
      </c>
      <c r="I12" s="116"/>
      <c r="J12" s="116"/>
      <c r="K12" s="116"/>
      <c r="L12" s="116"/>
      <c r="M12" s="116"/>
      <c r="N12" s="116"/>
      <c r="O12" s="116"/>
      <c r="R12" s="97"/>
      <c r="S12" s="96"/>
      <c r="T12" s="96"/>
      <c r="U12" s="96"/>
      <c r="V12" s="96"/>
      <c r="X12" s="494" t="s">
        <v>764</v>
      </c>
      <c r="Y12" s="494"/>
      <c r="Z12" s="494"/>
      <c r="AA12" s="494"/>
      <c r="AB12" s="510" t="str">
        <f>IFERROR(IF(INDEX('_Input Engine'!$B$11:$B$20,MATCH(INDEX('_Input Engine'!$E$31:$E$50,MATCH(C9,'_Input Engine'!$A$31:$A$50,0)),'_Input Engine'!$A$11:$A$20,0))="","",INDEX('_Input Engine'!$B$11:$B$20,MATCH(INDEX('_Input Engine'!$E$31:$E$50,MATCH(C9,'_Input Engine'!$A$31:$A$50,0)),'_Input Engine'!$A$11:$A$20,0))),"")</f>
        <v/>
      </c>
      <c r="AC12" s="511"/>
      <c r="AD12" s="511"/>
      <c r="AE12" s="510" t="str">
        <f>IFERROR(IF(INDEX('_Input Engine'!$B$11:$B$20,MATCH(INDEX('_Input Engine'!$F$31:$F$50,MATCH(C9,'_Input Engine'!$A$31:$A$50,0)),'_Input Engine'!$A$11:$A$20,0))="","",INDEX('_Input Engine'!$B$11:$B$20,MATCH(INDEX('_Input Engine'!$F$31:$F$50,MATCH(C9,'_Input Engine'!$A$31:$A$50,0)),'_Input Engine'!$A$11:$A$20,0))),"")</f>
        <v/>
      </c>
      <c r="AF12" s="511"/>
      <c r="AG12" s="511"/>
    </row>
    <row r="13" spans="1:85" ht="19.5" customHeight="1">
      <c r="A13" s="116"/>
      <c r="B13" s="271" t="s">
        <v>575</v>
      </c>
      <c r="C13" s="116"/>
      <c r="D13" s="116"/>
      <c r="E13" s="274" t="s">
        <v>576</v>
      </c>
      <c r="F13" s="274" t="s">
        <v>573</v>
      </c>
      <c r="G13" s="302"/>
      <c r="H13" s="271" t="s">
        <v>574</v>
      </c>
      <c r="I13" s="116"/>
      <c r="J13" s="116"/>
      <c r="K13" s="116"/>
      <c r="L13" s="116"/>
      <c r="M13" s="116"/>
      <c r="N13" s="116"/>
      <c r="O13" s="116"/>
      <c r="R13" s="517" t="s">
        <v>719</v>
      </c>
      <c r="S13" s="517"/>
      <c r="T13" s="522" t="str">
        <f>IFERROR(IF(INDEX('_Input Engine'!$G$31:$G$50,MATCH(C9,'_Input Engine'!$A$31:$A$50,0))="","",INDEX('_Input Engine'!$G$31:$G$50,MATCH(C9,'_Input Engine'!$A$31:$A$50,0))),"")</f>
        <v>Simply-supported</v>
      </c>
      <c r="U13" s="519"/>
      <c r="V13" s="519"/>
      <c r="X13" s="494"/>
      <c r="Y13" s="494"/>
      <c r="Z13" s="494"/>
      <c r="AA13" s="494"/>
      <c r="AB13" s="511"/>
      <c r="AC13" s="511"/>
      <c r="AD13" s="511"/>
      <c r="AE13" s="511"/>
      <c r="AF13" s="511"/>
      <c r="AG13" s="511"/>
    </row>
    <row r="14" spans="1:85" ht="19.5" customHeight="1">
      <c r="A14" s="116"/>
      <c r="B14" s="271" t="s">
        <v>577</v>
      </c>
      <c r="C14" s="116"/>
      <c r="D14" s="116"/>
      <c r="E14" s="274" t="s">
        <v>578</v>
      </c>
      <c r="F14" s="274" t="s">
        <v>573</v>
      </c>
      <c r="G14" s="263" t="str">
        <f>IFERROR(IF(INDEX('_Input Engine'!$C$31:$C$50,MATCH(C9,'_Input Engine'!$A$31:$A$50,0))="","",INDEX('_Input Engine'!$C$31:$C$50,MATCH(C9,'_Input Engine'!$A$31:$A$50,0))),"")</f>
        <v/>
      </c>
      <c r="H14" s="271" t="s">
        <v>579</v>
      </c>
      <c r="I14" s="116"/>
      <c r="J14" s="116"/>
      <c r="K14" s="116"/>
      <c r="L14" s="116"/>
      <c r="M14" s="116"/>
      <c r="N14" s="116"/>
      <c r="O14" s="116"/>
      <c r="R14" s="97"/>
      <c r="S14" s="96"/>
      <c r="T14" s="96"/>
      <c r="U14" s="96"/>
      <c r="V14" s="96"/>
      <c r="X14" s="494" t="s">
        <v>763</v>
      </c>
      <c r="Y14" s="494"/>
      <c r="Z14" s="494"/>
      <c r="AA14" s="494"/>
      <c r="AB14" s="510" t="str">
        <f>IFERROR(IF(INDEX('_Input Engine'!$C$11:$C$20,MATCH(INDEX('_Input Engine'!$E$31:$E$50,MATCH(C9,'_Input Engine'!$A$31:$A$50,0)),'_Input Engine'!$A$11:$A$20,0))="","",INDEX('_Input Engine'!$C$11:$C$20,MATCH(INDEX('_Input Engine'!$E$31:$E$50,MATCH(C9,'_Input Engine'!$A$31:$A$50,0)),'_Input Engine'!$A$11:$A$20,0))),"")</f>
        <v/>
      </c>
      <c r="AC14" s="511"/>
      <c r="AD14" s="511"/>
      <c r="AE14" s="510" t="str">
        <f>IFERROR(IF(INDEX('_Input Engine'!$C$11:$C$20,MATCH(INDEX('_Input Engine'!$F$31:$F$50,MATCH(C9,'_Input Engine'!$A$31:$A$50,0)),'_Input Engine'!$A$11:$A$20,0))="","",INDEX('_Input Engine'!$C$11:$C$20,MATCH(INDEX('_Input Engine'!$F$31:$F$50,MATCH(C9,'_Input Engine'!$A$31:$A$50,0)),'_Input Engine'!$A$11:$A$20,0))),"")</f>
        <v/>
      </c>
      <c r="AF14" s="511"/>
      <c r="AG14" s="511"/>
    </row>
    <row r="15" spans="1:85" ht="19.5" customHeight="1">
      <c r="A15" s="116"/>
      <c r="B15" s="271" t="s">
        <v>580</v>
      </c>
      <c r="C15" s="116"/>
      <c r="D15" s="116"/>
      <c r="E15" s="274" t="s">
        <v>581</v>
      </c>
      <c r="F15" s="274" t="s">
        <v>573</v>
      </c>
      <c r="G15" s="263" t="str">
        <f>IFERROR(IF(INDEX('_Input Engine'!$D$31:$D$50,MATCH(C9,'_Input Engine'!$A$31:$A$50,0))="","",INDEX('_Input Engine'!$D$31:$D$50,MATCH(C9,'_Input Engine'!$A$31:$A$50,0))),"")</f>
        <v/>
      </c>
      <c r="H15" s="271" t="s">
        <v>579</v>
      </c>
      <c r="I15" s="116"/>
      <c r="J15" s="116"/>
      <c r="K15" s="116"/>
      <c r="L15" s="116"/>
      <c r="M15" s="116"/>
      <c r="N15" s="116"/>
      <c r="O15" s="116"/>
      <c r="R15" s="97"/>
      <c r="S15" s="96"/>
      <c r="T15" s="96"/>
      <c r="U15" s="96"/>
      <c r="V15" s="96"/>
      <c r="X15" s="494"/>
      <c r="Y15" s="494"/>
      <c r="Z15" s="494"/>
      <c r="AA15" s="494"/>
      <c r="AB15" s="511"/>
      <c r="AC15" s="511"/>
      <c r="AD15" s="511"/>
      <c r="AE15" s="511"/>
      <c r="AF15" s="511"/>
      <c r="AG15" s="511"/>
    </row>
    <row r="16" spans="1:85" ht="19.5" customHeight="1">
      <c r="A16" s="116"/>
      <c r="B16" s="271" t="s">
        <v>582</v>
      </c>
      <c r="C16" s="116"/>
      <c r="D16" s="116"/>
      <c r="E16" s="274" t="s">
        <v>583</v>
      </c>
      <c r="F16" s="274" t="s">
        <v>573</v>
      </c>
      <c r="G16" s="265" t="str">
        <f>IF(COUNTIF('_Input Engine'!$A$31:$A$50,C9)&lt;&gt;1,"",IF(ISNUMBER(INDEX('_Input Engine'!$Y$31:$Y$50,MATCH(C9,'_Input Engine'!$A$31:$A$50,0))),INDEX('_Input Engine'!$Y$31:$Y$50,MATCH(C9,'_Input Engine'!$A$31:$A$50,0)),""))</f>
        <v/>
      </c>
      <c r="H16" s="271" t="s">
        <v>579</v>
      </c>
      <c r="I16" s="116"/>
      <c r="J16" s="116"/>
      <c r="K16" s="116"/>
      <c r="L16" s="116"/>
      <c r="M16" s="116"/>
      <c r="N16" s="116"/>
      <c r="O16" s="116"/>
      <c r="R16" s="517" t="s">
        <v>739</v>
      </c>
      <c r="S16" s="517"/>
      <c r="T16" s="508" t="s">
        <v>740</v>
      </c>
      <c r="U16" s="523"/>
      <c r="V16" s="96"/>
      <c r="X16" s="494" t="s">
        <v>762</v>
      </c>
      <c r="Y16" s="494"/>
      <c r="Z16" s="494"/>
      <c r="AA16" s="494"/>
      <c r="AB16" s="510" t="str">
        <f>IFERROR(IF(INDEX('_Input Engine'!$D$11:$D$20,MATCH(INDEX('_Input Engine'!$E$31:$E$50,MATCH(C9,'_Input Engine'!$A$31:$A$50,0)),'_Input Engine'!$A$11:$A$20,0))="","",INDEX('_Input Engine'!$D$11:$D$20,MATCH(INDEX('_Input Engine'!$E$31:$E$50,MATCH(C9,'_Input Engine'!$A$31:$A$50,0)),'_Input Engine'!$A$11:$A$20,0))),"")</f>
        <v/>
      </c>
      <c r="AC16" s="511"/>
      <c r="AD16" s="511"/>
      <c r="AE16" s="510" t="str">
        <f>IFERROR(IF(INDEX('_Input Engine'!$D$11:$D$20,MATCH(INDEX('_Input Engine'!$F$31:$F$50,MATCH(C9,'_Input Engine'!$A$31:$A$50,0)),'_Input Engine'!$A$11:$A$20,0))="","",INDEX('_Input Engine'!$D$11:$D$20,MATCH(INDEX('_Input Engine'!$F$31:$F$50,MATCH(C9,'_Input Engine'!$A$31:$A$50,0)),'_Input Engine'!$A$11:$A$20,0))),"")</f>
        <v/>
      </c>
      <c r="AF16" s="511"/>
      <c r="AG16" s="511"/>
    </row>
    <row r="17" spans="1:33" ht="19.5" customHeight="1">
      <c r="A17" s="116"/>
      <c r="B17" s="271" t="s">
        <v>584</v>
      </c>
      <c r="C17" s="116"/>
      <c r="D17" s="116"/>
      <c r="E17" s="274" t="s">
        <v>917</v>
      </c>
      <c r="F17" s="274" t="s">
        <v>573</v>
      </c>
      <c r="G17" s="263" t="str">
        <f>IFERROR(IF(INDEX('_Input Engine'!$AK$31:$AK$50,MATCH(C9,'_Input Engine'!$A$31:$A$50,0))="","",INDEX('_Input Engine'!$AK$31:$AK$50,MATCH(C9,'_Input Engine'!$A$31:$A$50,0))),"")</f>
        <v/>
      </c>
      <c r="H17" s="271" t="s">
        <v>585</v>
      </c>
      <c r="I17" s="116"/>
      <c r="J17" s="116"/>
      <c r="K17" s="116"/>
      <c r="L17" s="112"/>
      <c r="M17" s="112"/>
      <c r="N17" s="116"/>
      <c r="O17" s="116"/>
      <c r="R17" s="97"/>
      <c r="S17" s="96"/>
      <c r="T17" s="96"/>
      <c r="U17" s="96"/>
      <c r="V17" s="96"/>
      <c r="X17" s="494"/>
      <c r="Y17" s="494"/>
      <c r="Z17" s="494"/>
      <c r="AA17" s="494"/>
      <c r="AB17" s="511"/>
      <c r="AC17" s="511"/>
      <c r="AD17" s="511"/>
      <c r="AE17" s="511"/>
      <c r="AF17" s="511"/>
      <c r="AG17" s="511"/>
    </row>
    <row r="18" spans="1:33" ht="19.5" customHeight="1">
      <c r="A18" s="116"/>
      <c r="B18" s="527" t="s">
        <v>954</v>
      </c>
      <c r="C18" s="526"/>
      <c r="D18" s="526"/>
      <c r="E18" s="274" t="s">
        <v>918</v>
      </c>
      <c r="F18" s="274" t="s">
        <v>573</v>
      </c>
      <c r="G18" s="303">
        <v>500</v>
      </c>
      <c r="H18" s="271" t="s">
        <v>585</v>
      </c>
      <c r="I18" s="116"/>
      <c r="J18" s="116"/>
      <c r="K18" s="116"/>
      <c r="L18" s="116"/>
      <c r="M18" s="116"/>
      <c r="N18" s="116"/>
      <c r="O18" s="116"/>
      <c r="R18" s="97"/>
      <c r="S18" s="96"/>
      <c r="T18" s="96"/>
      <c r="U18" s="96"/>
      <c r="V18" s="96"/>
      <c r="X18" s="494" t="s">
        <v>491</v>
      </c>
      <c r="Y18" s="494"/>
      <c r="Z18" s="494"/>
      <c r="AA18" s="494"/>
      <c r="AB18" s="510" t="str">
        <f>IFERROR(IF(INDEX('_Input Engine'!$E$11:$E$20,MATCH(INDEX('_Input Engine'!$E$31:$E$50,MATCH(C9,'_Input Engine'!$A$31:$A$50,0)),'_Input Engine'!$A$11:$A$20,0))="","",INDEX('_Input Engine'!$E$11:$E$20,MATCH(INDEX('_Input Engine'!$E$31:$E$50,MATCH(C9,'_Input Engine'!$A$31:$A$50,0)),'_Input Engine'!$A$11:$A$20,0))),"")</f>
        <v/>
      </c>
      <c r="AC18" s="511"/>
      <c r="AD18" s="511"/>
      <c r="AE18" s="510" t="str">
        <f>IFERROR(IF(INDEX('_Input Engine'!$E$11:$E$20,MATCH(INDEX('_Input Engine'!$F$31:$F$50,MATCH(C9,'_Input Engine'!$A$31:$A$50,0)),'_Input Engine'!$A$11:$A$20,0))="","",INDEX('_Input Engine'!$E$11:$E$20,MATCH(INDEX('_Input Engine'!$F$31:$F$50,MATCH(C9,'_Input Engine'!$A$31:$A$50,0)),'_Input Engine'!$A$11:$A$20,0))),"")</f>
        <v/>
      </c>
      <c r="AF18" s="511"/>
      <c r="AG18" s="511"/>
    </row>
    <row r="19" spans="1:33" ht="19.5" customHeight="1">
      <c r="A19" s="116"/>
      <c r="B19" s="527" t="s">
        <v>955</v>
      </c>
      <c r="C19" s="526"/>
      <c r="D19" s="526"/>
      <c r="E19" s="274" t="s">
        <v>919</v>
      </c>
      <c r="F19" s="274" t="s">
        <v>573</v>
      </c>
      <c r="G19" s="303">
        <v>500</v>
      </c>
      <c r="H19" s="271" t="s">
        <v>585</v>
      </c>
      <c r="I19" s="116"/>
      <c r="J19" s="116"/>
      <c r="K19" s="116"/>
      <c r="L19" s="116"/>
      <c r="M19" s="116"/>
      <c r="N19" s="116"/>
      <c r="O19" s="116"/>
      <c r="R19" s="97"/>
      <c r="S19" s="96"/>
      <c r="T19" s="96"/>
      <c r="U19" s="96"/>
      <c r="V19" s="96"/>
      <c r="X19" s="494"/>
      <c r="Y19" s="494"/>
      <c r="Z19" s="494"/>
      <c r="AA19" s="494"/>
      <c r="AB19" s="511"/>
      <c r="AC19" s="511"/>
      <c r="AD19" s="511"/>
      <c r="AE19" s="511"/>
      <c r="AF19" s="511"/>
      <c r="AG19" s="51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94" t="s">
        <v>333</v>
      </c>
      <c r="Y20" s="494"/>
      <c r="Z20" s="494"/>
      <c r="AA20" s="494"/>
      <c r="AB20" s="510" t="str">
        <f>IFERROR(IF(INDEX('_Input Engine'!$F$11:$F$20,MATCH(INDEX('_Input Engine'!$E$31:$E$50,MATCH(C9,'_Input Engine'!$A$31:$A$50,0)),'_Input Engine'!$A$11:$A$20,0))="","",INDEX('_Input Engine'!$F$11:$F$20,MATCH(INDEX('_Input Engine'!$E$31:$E$50,MATCH(C9,'_Input Engine'!$A$31:$A$50,0)),'_Input Engine'!$A$11:$A$20,0))),"")</f>
        <v/>
      </c>
      <c r="AC20" s="511"/>
      <c r="AD20" s="511"/>
      <c r="AE20" s="510" t="str">
        <f>IFERROR(IF(INDEX('_Input Engine'!$F$11:$F$20,MATCH(INDEX('_Input Engine'!$F$31:$F$50,MATCH(C9,'_Input Engine'!$A$31:$A$50,0)),'_Input Engine'!$A$11:$A$20,0))="","",INDEX('_Input Engine'!$F$11:$F$20,MATCH(INDEX('_Input Engine'!$F$31:$F$50,MATCH(C9,'_Input Engine'!$A$31:$A$50,0)),'_Input Engine'!$A$11:$A$20,0))),"")</f>
        <v/>
      </c>
      <c r="AF20" s="511"/>
      <c r="AG20" s="511"/>
    </row>
    <row r="21" spans="1:33" ht="25.05" customHeight="1">
      <c r="A21" s="116"/>
      <c r="B21" s="520" t="s">
        <v>949</v>
      </c>
      <c r="C21" s="520"/>
      <c r="D21" s="520"/>
      <c r="E21" s="521"/>
      <c r="F21" s="521"/>
      <c r="G21" s="521"/>
      <c r="H21" s="521"/>
      <c r="I21" s="521"/>
      <c r="J21" s="521"/>
      <c r="K21" s="521"/>
      <c r="L21" s="521"/>
      <c r="M21" s="521"/>
      <c r="N21" s="521"/>
      <c r="O21" s="141"/>
      <c r="R21" s="97"/>
      <c r="S21" s="96"/>
      <c r="T21" s="96"/>
      <c r="U21" s="96"/>
      <c r="V21" s="96"/>
      <c r="X21" s="494"/>
      <c r="Y21" s="494"/>
      <c r="Z21" s="494"/>
      <c r="AA21" s="494"/>
      <c r="AB21" s="511"/>
      <c r="AC21" s="511"/>
      <c r="AD21" s="511"/>
      <c r="AE21" s="511"/>
      <c r="AF21" s="511"/>
      <c r="AG21" s="511"/>
    </row>
    <row r="22" spans="1:33" ht="7.95" customHeight="1">
      <c r="A22" s="116"/>
      <c r="B22" s="116"/>
      <c r="C22" s="116"/>
      <c r="D22" s="116"/>
      <c r="E22" s="116"/>
      <c r="F22" s="116"/>
      <c r="G22" s="116"/>
      <c r="H22" s="116"/>
      <c r="I22" s="116"/>
      <c r="J22" s="116"/>
      <c r="K22" s="116"/>
      <c r="L22" s="116"/>
      <c r="M22" s="116"/>
      <c r="N22" s="116"/>
      <c r="O22" s="116"/>
      <c r="R22" s="508" t="s">
        <v>1087</v>
      </c>
      <c r="S22" s="508"/>
      <c r="T22" s="508"/>
      <c r="U22" s="508"/>
      <c r="V22" s="508"/>
      <c r="X22" s="494" t="s">
        <v>755</v>
      </c>
      <c r="Y22" s="494"/>
      <c r="Z22" s="494"/>
      <c r="AA22" s="494"/>
      <c r="AB22" s="494"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94"/>
      <c r="AD22" s="494"/>
      <c r="AE22" s="494"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94"/>
      <c r="AG22" s="494"/>
    </row>
    <row r="23" spans="1:33" ht="19.5" customHeight="1">
      <c r="A23" s="116"/>
      <c r="B23" s="271" t="s">
        <v>586</v>
      </c>
      <c r="C23" s="116"/>
      <c r="D23" s="116"/>
      <c r="E23" s="274" t="s">
        <v>587</v>
      </c>
      <c r="F23" s="274" t="s">
        <v>573</v>
      </c>
      <c r="G23" s="299" t="str">
        <f>IFERROR(IF(INDEX('_Input Engine'!$U$31:$U$50,MATCH(C9,'_Input Engine'!$A$31:$A$50,0))="","",INDEX('_Input Engine'!$U$31:$U$50,MATCH(C9,'_Input Engine'!$A$31:$A$50,0))),"")</f>
        <v/>
      </c>
      <c r="H23" s="271" t="s">
        <v>588</v>
      </c>
      <c r="I23" s="116"/>
      <c r="J23" s="116"/>
      <c r="K23" s="116"/>
      <c r="L23" s="116"/>
      <c r="M23" s="116"/>
      <c r="N23" s="116"/>
      <c r="O23" s="116"/>
      <c r="R23" s="508" t="str">
        <f>IF('_SB Analysis'!I25&lt;&gt;"OK",'_SB Analysis'!I25,IF(G16="","ENTER COVER",IF(T16="Manual","MANUAL DESIGN CHECK","AUTO DESIGN CHECK")))</f>
        <v/>
      </c>
      <c r="S23" s="508"/>
      <c r="T23" s="508"/>
      <c r="U23" s="508"/>
      <c r="V23" s="508"/>
      <c r="X23" s="494"/>
      <c r="Y23" s="494"/>
      <c r="Z23" s="494"/>
      <c r="AA23" s="494"/>
      <c r="AB23" s="494"/>
      <c r="AC23" s="494"/>
      <c r="AD23" s="494"/>
      <c r="AE23" s="494"/>
      <c r="AF23" s="494"/>
      <c r="AG23" s="494"/>
    </row>
    <row r="24" spans="1:33" ht="19.5" customHeight="1">
      <c r="A24" s="116"/>
      <c r="B24" s="271" t="s">
        <v>589</v>
      </c>
      <c r="C24" s="116"/>
      <c r="D24" s="116"/>
      <c r="E24" s="274" t="s">
        <v>590</v>
      </c>
      <c r="F24" s="274" t="s">
        <v>573</v>
      </c>
      <c r="G24" s="299" t="str">
        <f>IFERROR(IF(INDEX('_Input Engine'!$V$31:$V$50,MATCH(C9,'_Input Engine'!$A$31:$A$50,0))="","",INDEX('_Input Engine'!$V$31:$V$50,MATCH(C9,'_Input Engine'!$A$31:$A$50,0))),"")</f>
        <v/>
      </c>
      <c r="H24" s="271" t="s">
        <v>591</v>
      </c>
      <c r="I24" s="116"/>
      <c r="J24" s="116"/>
      <c r="K24" s="116"/>
      <c r="L24" s="116"/>
      <c r="M24" s="116"/>
      <c r="N24" s="116"/>
      <c r="O24" s="116"/>
      <c r="R24" s="508"/>
      <c r="S24" s="508"/>
      <c r="T24" s="508"/>
      <c r="U24" s="508"/>
      <c r="V24" s="508"/>
      <c r="X24" s="494" t="s">
        <v>768</v>
      </c>
      <c r="Y24" s="494"/>
      <c r="Z24" s="494"/>
      <c r="AA24" s="494"/>
      <c r="AB24" s="494" t="str">
        <f>IF(AB8="No",0,IF(AND(ISNUMBER(AB14),AB14&gt;0),$T$43*AB14/1000,""))</f>
        <v/>
      </c>
      <c r="AC24" s="494"/>
      <c r="AD24" s="494"/>
      <c r="AE24" s="494" t="str">
        <f>IF(AE8="No",0,IF(AND(ISNUMBER(AE14),AE14&gt;0),$T$43*AE14/1000,""))</f>
        <v/>
      </c>
      <c r="AF24" s="494"/>
      <c r="AG24" s="494"/>
    </row>
    <row r="25" spans="1:33" ht="19.5" customHeight="1">
      <c r="A25" s="116"/>
      <c r="B25" s="271" t="s">
        <v>592</v>
      </c>
      <c r="C25" s="116"/>
      <c r="D25" s="116"/>
      <c r="E25" s="274" t="s">
        <v>593</v>
      </c>
      <c r="F25" s="274" t="s">
        <v>573</v>
      </c>
      <c r="G25" s="524" t="str">
        <f>IF(OR('_SB Analysis'!$I$25&lt;&gt;"OK",COUNT($G$16)&lt;&gt;1,$G$16&lt;0),"",E24&amp; " x "&amp;E13)</f>
        <v/>
      </c>
      <c r="H25" s="525"/>
      <c r="I25" s="525"/>
      <c r="J25" s="271" t="s">
        <v>573</v>
      </c>
      <c r="K25" s="264" t="str">
        <f>IF(OR('_SB Analysis'!$I$25&lt;&gt;"OK",COUNT($G$16)&lt;&gt;1,$G$16&lt;0),"",IF(ISNUMBER(G24),G24*N(G13),""))</f>
        <v/>
      </c>
      <c r="L25" s="271" t="s">
        <v>588</v>
      </c>
      <c r="M25" s="116"/>
      <c r="N25" s="116"/>
      <c r="O25" s="116"/>
      <c r="R25" s="97"/>
      <c r="S25" s="96"/>
      <c r="T25" s="96"/>
      <c r="U25" s="96"/>
      <c r="V25" s="96"/>
      <c r="X25" s="494"/>
      <c r="Y25" s="494"/>
      <c r="Z25" s="494"/>
      <c r="AA25" s="494"/>
      <c r="AB25" s="494"/>
      <c r="AC25" s="494"/>
      <c r="AD25" s="494"/>
      <c r="AE25" s="494"/>
      <c r="AF25" s="494"/>
      <c r="AG25" s="494"/>
    </row>
    <row r="26" spans="1:33" ht="7.95" customHeight="1">
      <c r="A26" s="116"/>
      <c r="B26" s="526"/>
      <c r="C26" s="526"/>
      <c r="D26" s="526"/>
      <c r="E26" s="116"/>
      <c r="F26" s="112"/>
      <c r="G26" s="113"/>
      <c r="H26" s="113"/>
      <c r="I26" s="116"/>
      <c r="J26" s="116"/>
      <c r="K26" s="116"/>
      <c r="L26" s="116"/>
      <c r="M26" s="116"/>
      <c r="N26" s="116"/>
      <c r="O26" s="116"/>
      <c r="R26" s="508" t="s">
        <v>1100</v>
      </c>
      <c r="S26" s="508"/>
      <c r="T26" s="508"/>
      <c r="U26" s="508"/>
      <c r="V26" s="508"/>
      <c r="X26" s="494" t="s">
        <v>767</v>
      </c>
      <c r="Y26" s="494"/>
      <c r="Z26" s="494"/>
      <c r="AA26" s="494"/>
      <c r="AB26" s="494" t="str">
        <f>IF(AB8="No",0,IF(AND(AB10="Simply-supported",ISNUMBER(AB12),AB12&gt;0),AB12/2,""))</f>
        <v/>
      </c>
      <c r="AC26" s="494"/>
      <c r="AD26" s="494"/>
      <c r="AE26" s="494" t="str">
        <f>IF(AE8="No",0,IF(AND(AE10="Simply-supported",ISNUMBER(AE12),AE12&gt;0),AE12/2,""))</f>
        <v/>
      </c>
      <c r="AF26" s="494"/>
      <c r="AG26" s="494"/>
    </row>
    <row r="27" spans="1:33" ht="25.05" customHeight="1">
      <c r="A27" s="116"/>
      <c r="B27" s="146" t="s">
        <v>950</v>
      </c>
      <c r="C27" s="146"/>
      <c r="D27" s="146"/>
      <c r="E27" s="141"/>
      <c r="F27" s="142"/>
      <c r="G27" s="143"/>
      <c r="H27" s="143"/>
      <c r="I27" s="141"/>
      <c r="J27" s="141"/>
      <c r="K27" s="141"/>
      <c r="L27" s="141"/>
      <c r="M27" s="141"/>
      <c r="N27" s="144" t="s">
        <v>594</v>
      </c>
      <c r="O27" s="141"/>
      <c r="R27" s="508" t="s">
        <v>1101</v>
      </c>
      <c r="S27" s="508"/>
      <c r="T27" s="508"/>
      <c r="U27" s="508"/>
      <c r="V27" s="508"/>
      <c r="X27" s="494"/>
      <c r="Y27" s="494"/>
      <c r="Z27" s="494"/>
      <c r="AA27" s="494"/>
      <c r="AB27" s="494"/>
      <c r="AC27" s="494"/>
      <c r="AD27" s="494"/>
      <c r="AE27" s="494"/>
      <c r="AF27" s="494"/>
      <c r="AG27" s="494"/>
    </row>
    <row r="28" spans="1:33" ht="7.95" customHeight="1">
      <c r="A28" s="116"/>
      <c r="B28" s="116"/>
      <c r="C28" s="116"/>
      <c r="D28" s="116"/>
      <c r="E28" s="116"/>
      <c r="F28" s="116"/>
      <c r="G28" s="116"/>
      <c r="H28" s="116"/>
      <c r="I28" s="116"/>
      <c r="J28" s="116"/>
      <c r="K28" s="116"/>
      <c r="L28" s="116"/>
      <c r="M28" s="116"/>
      <c r="N28" s="116"/>
      <c r="O28" s="116"/>
      <c r="R28" s="508"/>
      <c r="S28" s="508"/>
      <c r="T28" s="508"/>
      <c r="U28" s="508"/>
      <c r="V28" s="508"/>
      <c r="X28" s="418" t="s">
        <v>1102</v>
      </c>
      <c r="Y28" s="418"/>
      <c r="Z28" s="418"/>
      <c r="AA28" s="418"/>
      <c r="AB28" s="418"/>
      <c r="AC28" s="418"/>
      <c r="AD28" s="418"/>
      <c r="AE28" s="418"/>
      <c r="AF28" s="418"/>
      <c r="AG28" s="418"/>
    </row>
    <row r="29" spans="1:33" ht="19.5" customHeight="1">
      <c r="A29" s="116"/>
      <c r="B29" s="271" t="s">
        <v>595</v>
      </c>
      <c r="C29" s="116"/>
      <c r="D29" s="116"/>
      <c r="E29" s="274" t="s">
        <v>596</v>
      </c>
      <c r="F29" s="274" t="s">
        <v>573</v>
      </c>
      <c r="G29" s="277" t="str">
        <f>IF(OR('_SB Analysis'!$I$25&lt;&gt;"OK",COUNT($G$16)&lt;&gt;1,$G$16&lt;0),"",'_SB Helpers'!Q44)</f>
        <v/>
      </c>
      <c r="H29" s="271" t="s">
        <v>579</v>
      </c>
      <c r="I29" s="116"/>
      <c r="J29" s="116"/>
      <c r="K29" s="116"/>
      <c r="L29" s="116"/>
      <c r="M29" s="116"/>
      <c r="N29" s="116"/>
      <c r="O29" s="116"/>
      <c r="R29" s="509" t="str">
        <f>IF('_Input Engine'!$F$4="","Fire resistance: INPUT REQUIRED at top of Beam Loading","Fire resistance: "&amp;'_Input Engine'!$F$4&amp;" hr (common). Cover from Section B Concrete Cover.")</f>
        <v>Fire resistance: INPUT REQUIRED at top of Beam Loading</v>
      </c>
      <c r="S29" s="509"/>
      <c r="T29" s="509"/>
      <c r="U29" s="509"/>
      <c r="V29" s="509"/>
      <c r="X29" s="418"/>
      <c r="Y29" s="418"/>
      <c r="Z29" s="418"/>
      <c r="AA29" s="418"/>
      <c r="AB29" s="418"/>
      <c r="AC29" s="418"/>
      <c r="AD29" s="418"/>
      <c r="AE29" s="418"/>
      <c r="AF29" s="418"/>
      <c r="AG29" s="418"/>
    </row>
    <row r="30" spans="1:33" ht="19.5" customHeight="1">
      <c r="A30" s="116"/>
      <c r="B30" s="116"/>
      <c r="C30" s="116"/>
      <c r="D30" s="116"/>
      <c r="E30" s="274" t="s">
        <v>597</v>
      </c>
      <c r="F30" s="274" t="s">
        <v>573</v>
      </c>
      <c r="G30" s="278" t="s">
        <v>920</v>
      </c>
      <c r="H30" s="111"/>
      <c r="I30" s="116"/>
      <c r="J30" s="274" t="s">
        <v>573</v>
      </c>
      <c r="K30" s="279" t="str">
        <f>IF(OR('_SB Analysis'!$I$25&lt;&gt;"OK",COUNT($G$16)&lt;&gt;1,$G$16&lt;0),"",ROUND(G23*10^6/(G14*G29^2*G17),3))</f>
        <v/>
      </c>
      <c r="L30" s="116"/>
      <c r="M30" s="116"/>
      <c r="N30" s="280" t="s">
        <v>598</v>
      </c>
      <c r="O30" s="116"/>
      <c r="R30" s="509"/>
      <c r="S30" s="509"/>
      <c r="T30" s="509"/>
      <c r="U30" s="509"/>
      <c r="V30" s="509"/>
      <c r="X30" s="418"/>
      <c r="Y30" s="418"/>
      <c r="Z30" s="418"/>
      <c r="AA30" s="418"/>
      <c r="AB30" s="418"/>
      <c r="AC30" s="418"/>
      <c r="AD30" s="418"/>
      <c r="AE30" s="418"/>
      <c r="AF30" s="418"/>
      <c r="AG30" s="418"/>
    </row>
    <row r="31" spans="1:33" ht="19.5" customHeight="1">
      <c r="A31" s="116"/>
      <c r="B31" s="116"/>
      <c r="C31" s="116"/>
      <c r="D31" s="116"/>
      <c r="E31" s="112"/>
      <c r="F31" s="274" t="str">
        <f>IF(OR('_SB Analysis'!$I$25&lt;&gt;"OK",COUNT($G$16)&lt;&gt;1,$G$16&lt;0),"",IF(K30&gt;K31,"&gt;","&lt;"))</f>
        <v/>
      </c>
      <c r="G31" s="112"/>
      <c r="H31" s="112"/>
      <c r="I31" s="277" t="s">
        <v>599</v>
      </c>
      <c r="J31" s="274" t="s">
        <v>573</v>
      </c>
      <c r="K31" s="279" t="str">
        <f>IF(OR('_SB Analysis'!$I$25&lt;&gt;"OK",COUNT($G$16)&lt;&gt;1,$G$16&lt;0),"",IF(G17&lt;=45,0.156,IF(G17&lt;70,0.12,0.094)))</f>
        <v/>
      </c>
      <c r="L31" s="116"/>
      <c r="M31" s="116"/>
      <c r="N31" s="280" t="s">
        <v>600</v>
      </c>
      <c r="O31" s="116"/>
      <c r="R31" s="508" t="s">
        <v>751</v>
      </c>
      <c r="S31" s="508"/>
      <c r="T31" s="508"/>
      <c r="U31" s="508"/>
      <c r="V31" s="508"/>
      <c r="X31" s="418"/>
      <c r="Y31" s="418"/>
      <c r="Z31" s="418"/>
      <c r="AA31" s="418"/>
      <c r="AB31" s="418"/>
      <c r="AC31" s="418"/>
      <c r="AD31" s="418"/>
      <c r="AE31" s="418"/>
      <c r="AF31" s="418"/>
      <c r="AG31" s="418"/>
    </row>
    <row r="32" spans="1:33" ht="19.5" customHeight="1">
      <c r="A32" s="116"/>
      <c r="B32" s="116"/>
      <c r="C32" s="116"/>
      <c r="D32" s="277" t="s">
        <v>921</v>
      </c>
      <c r="E32" s="281" t="str">
        <f>IF(OR('_SB Analysis'!$I$25&lt;&gt;"OK",COUNT($G$16)&lt;&gt;1,$G$16&lt;0),"","Compression reinforcement is"&amp;IF(F31="&gt;"," "," not ")&amp;"required")</f>
        <v/>
      </c>
      <c r="F32" s="112"/>
      <c r="G32" s="112"/>
      <c r="H32" s="112"/>
      <c r="I32" s="113"/>
      <c r="J32" s="112"/>
      <c r="K32" s="118"/>
      <c r="L32" s="116"/>
      <c r="M32" s="116"/>
      <c r="N32" s="139"/>
      <c r="O32" s="116"/>
      <c r="R32" s="508"/>
      <c r="S32" s="508"/>
      <c r="T32" s="508"/>
      <c r="U32" s="508"/>
      <c r="V32" s="508"/>
      <c r="X32"/>
      <c r="Y32"/>
      <c r="Z32"/>
      <c r="AA32"/>
      <c r="AB32"/>
      <c r="AC32"/>
      <c r="AD32"/>
      <c r="AE32"/>
      <c r="AF32"/>
      <c r="AG32"/>
    </row>
    <row r="33" spans="1:85" ht="19.5" customHeight="1">
      <c r="A33" s="116"/>
      <c r="B33" s="271" t="s">
        <v>956</v>
      </c>
      <c r="C33" s="116"/>
      <c r="D33" s="116"/>
      <c r="E33" s="274" t="s">
        <v>601</v>
      </c>
      <c r="F33" s="274" t="s">
        <v>573</v>
      </c>
      <c r="G33" s="278" t="str">
        <f>IF(OR('_SB Analysis'!$I$25&lt;&gt;"OK",COUNT($G$16)&lt;&gt;1,$G$16&lt;0),"","d(0.5+     0.25-"&amp;IF(K30&gt;K31,"K'","K")&amp;"/0.9)")</f>
        <v/>
      </c>
      <c r="H33" s="111"/>
      <c r="I33" s="113"/>
      <c r="J33" s="274" t="s">
        <v>573</v>
      </c>
      <c r="K33" s="282" t="str">
        <f>IF(OR('_SB Analysis'!$I$25&lt;&gt;"OK",COUNT($G$16)&lt;&gt;1,$G$16&lt;0),"",IF(K30&gt;K31,0.5+(0.25-K31/0.9)^0.5,0.5+(0.25-K30/0.9)^0.5))</f>
        <v/>
      </c>
      <c r="L33" s="271" t="s">
        <v>596</v>
      </c>
      <c r="M33" s="116"/>
      <c r="N33" s="280" t="str">
        <f>IF(OR('_SB Analysis'!$I$25&lt;&gt;"OK",COUNT($G$16)&lt;&gt;1,$G$16&lt;0),"",IF(K30&gt;K31,"…6.13","…6.10"))</f>
        <v/>
      </c>
      <c r="O33" s="116"/>
      <c r="R33" s="508" t="s">
        <v>757</v>
      </c>
      <c r="S33" s="508"/>
      <c r="T33" s="508"/>
      <c r="U33" s="508"/>
      <c r="V33" s="508"/>
      <c r="X33"/>
      <c r="Y33"/>
      <c r="Z33"/>
      <c r="AA33"/>
      <c r="AB33"/>
      <c r="AC33"/>
      <c r="AD33"/>
      <c r="AE33"/>
      <c r="AF33"/>
      <c r="AG33"/>
    </row>
    <row r="34" spans="1:85" ht="19.5" customHeight="1">
      <c r="A34" s="116"/>
      <c r="B34" s="116"/>
      <c r="C34" s="116"/>
      <c r="D34" s="116"/>
      <c r="E34" s="112"/>
      <c r="F34" s="112"/>
      <c r="G34" s="112"/>
      <c r="H34" s="112"/>
      <c r="I34" s="113"/>
      <c r="J34" s="274" t="str">
        <f>IF(OR('_SB Analysis'!$I$25&lt;&gt;"OK",COUNT($G$16)&lt;&gt;1,$G$16&lt;0),"",IF(K33&gt;K34,"&gt;","&lt;"))</f>
        <v/>
      </c>
      <c r="K34" s="282">
        <v>0.95</v>
      </c>
      <c r="L34" s="271" t="s">
        <v>596</v>
      </c>
      <c r="M34" s="116"/>
      <c r="N34" s="139"/>
      <c r="O34" s="116"/>
      <c r="R34" s="508"/>
      <c r="S34" s="508"/>
      <c r="T34" s="508"/>
      <c r="U34" s="508"/>
      <c r="V34" s="508"/>
      <c r="X34"/>
      <c r="Y34"/>
      <c r="Z34"/>
      <c r="AA34"/>
      <c r="AB34"/>
      <c r="AC34"/>
      <c r="AD34"/>
      <c r="AE34"/>
      <c r="AF34"/>
      <c r="AG34"/>
    </row>
    <row r="35" spans="1:85" ht="19.5" customHeight="1">
      <c r="A35" s="116"/>
      <c r="B35" s="116"/>
      <c r="C35" s="116"/>
      <c r="D35" s="277" t="s">
        <v>921</v>
      </c>
      <c r="E35" s="274" t="s">
        <v>601</v>
      </c>
      <c r="F35" s="274" t="s">
        <v>573</v>
      </c>
      <c r="G35" s="277" t="str">
        <f>IF(OR('_SB Analysis'!$I$25&lt;&gt;"OK",COUNT($G$16)&lt;&gt;1,$G$16&lt;0),"",ROUND(MIN(K33:K34)*G29,0))</f>
        <v/>
      </c>
      <c r="H35" s="278" t="s">
        <v>579</v>
      </c>
      <c r="I35" s="116"/>
      <c r="J35" s="112"/>
      <c r="K35" s="118"/>
      <c r="L35" s="116"/>
      <c r="M35" s="116"/>
      <c r="N35" s="139"/>
      <c r="O35" s="116"/>
      <c r="R35" s="96"/>
      <c r="S35" s="96"/>
      <c r="T35" s="96" t="s">
        <v>1012</v>
      </c>
      <c r="U35" s="96"/>
      <c r="V35" s="96"/>
      <c r="X35"/>
      <c r="Y35"/>
      <c r="Z35"/>
      <c r="AA35"/>
      <c r="AB35"/>
      <c r="AC35"/>
      <c r="AD35"/>
      <c r="AE35"/>
      <c r="AF35"/>
      <c r="AG35"/>
    </row>
    <row r="36" spans="1:85" ht="19.5" customHeight="1">
      <c r="A36" s="116"/>
      <c r="B36" s="528" t="s">
        <v>602</v>
      </c>
      <c r="C36" s="116"/>
      <c r="D36" s="113"/>
      <c r="E36" s="524" t="s">
        <v>922</v>
      </c>
      <c r="F36" s="524" t="s">
        <v>573</v>
      </c>
      <c r="G36" s="524" t="s">
        <v>923</v>
      </c>
      <c r="H36" s="525"/>
      <c r="I36" s="116"/>
      <c r="J36" s="524" t="s">
        <v>573</v>
      </c>
      <c r="K36" s="530" t="str">
        <f>IF(OR('_SB Analysis'!$I$25&lt;&gt;"OK",COUNT($G$16)&lt;&gt;1,$G$16&lt;0),"",ROUND(IF(K30&gt;K31,((K30-K31)*G17*G14*G29^2)/(0.87*G18*('_SB Helpers'!Q44-'_SB Helpers'!Q40)),0),0))</f>
        <v/>
      </c>
      <c r="L36" s="532" t="s">
        <v>916</v>
      </c>
      <c r="M36" s="114"/>
      <c r="N36" s="534" t="s">
        <v>603</v>
      </c>
      <c r="O36" s="116"/>
      <c r="R36" s="96"/>
      <c r="S36" s="96"/>
      <c r="T36" s="96"/>
      <c r="U36" s="96"/>
      <c r="V36" s="96"/>
      <c r="BR36" s="492" t="s">
        <v>1111</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R37" s="96"/>
      <c r="S37" s="96"/>
      <c r="T37" s="96"/>
      <c r="U37" s="96"/>
      <c r="V37" s="96"/>
      <c r="X37"/>
      <c r="Y37"/>
      <c r="Z37"/>
      <c r="AA37"/>
      <c r="AB37"/>
      <c r="AC37"/>
      <c r="AD37"/>
      <c r="AE37"/>
      <c r="AF37"/>
      <c r="AG37"/>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IF(OR('_SB Analysis'!$I$25&lt;&gt;"OK",COUNT($G$16)&lt;&gt;1,$G$16&lt;0),"",IF(K30&gt;K31,"K' fcu b d²)","M"))</f>
        <v/>
      </c>
      <c r="H38" s="525"/>
      <c r="I38" s="528" t="str">
        <f>IF(OR('_SB Analysis'!$I$25&lt;&gt;"OK",COUNT($G$16)&lt;&gt;1,$G$16&lt;0),"",IF(K30&gt;K31," + As'",""))</f>
        <v/>
      </c>
      <c r="J38" s="524" t="s">
        <v>573</v>
      </c>
      <c r="K38" s="530" t="str">
        <f>IF(OR('_SB Analysis'!$I$25&lt;&gt;"OK",COUNT($G$16)&lt;&gt;1,$G$16&lt;0),"",ROUND(IF(K30&gt;K31,K31*G17*G14*G29^2/(0.87*G18*G35)+K36,G23*10^6/(0.87*G18*G35)),0))</f>
        <v/>
      </c>
      <c r="L38" s="532" t="s">
        <v>916</v>
      </c>
      <c r="M38" s="114"/>
      <c r="N38" s="534" t="str">
        <f>IF(OR('_SB Analysis'!$I$25&lt;&gt;"OK",COUNT($G$16)&lt;&gt;1,$G$16&lt;0),"",IF(K30&gt;K31,"…6.16","…6.12"))</f>
        <v/>
      </c>
      <c r="O38" s="116"/>
      <c r="R38" s="97"/>
      <c r="S38" s="96"/>
      <c r="T38" s="96"/>
      <c r="U38" s="96"/>
      <c r="V38" s="96"/>
      <c r="X38"/>
      <c r="Y38"/>
      <c r="Z38"/>
      <c r="AA38"/>
      <c r="AB38"/>
      <c r="AC38"/>
      <c r="AD38"/>
      <c r="AE38"/>
      <c r="AF38"/>
      <c r="AG38"/>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97"/>
      <c r="S39" s="96"/>
      <c r="T39" s="96"/>
      <c r="U39" s="96"/>
      <c r="V39" s="96"/>
      <c r="X39"/>
      <c r="Y39"/>
      <c r="Z39"/>
      <c r="AA39"/>
      <c r="AB39"/>
      <c r="AC39"/>
      <c r="AD39"/>
      <c r="AE39"/>
      <c r="AF39"/>
      <c r="AG39"/>
      <c r="BR39" s="493"/>
      <c r="BS39" s="493"/>
      <c r="BT39" s="493"/>
      <c r="BU39" s="493"/>
      <c r="BV39" s="493"/>
      <c r="BW39" s="493"/>
      <c r="BX39" s="493"/>
      <c r="BY39" s="493"/>
      <c r="BZ39" s="493"/>
      <c r="CA39" s="493"/>
      <c r="CB39" s="493"/>
      <c r="CC39" s="493"/>
      <c r="CD39" s="493"/>
      <c r="CE39" s="493"/>
      <c r="CF39" s="493"/>
      <c r="CG39" s="493"/>
    </row>
    <row r="40" spans="1:85" ht="19.5" customHeight="1">
      <c r="A40" s="116"/>
      <c r="B40" s="271" t="s">
        <v>606</v>
      </c>
      <c r="C40" s="304">
        <v>11</v>
      </c>
      <c r="D40" s="305">
        <v>40</v>
      </c>
      <c r="E40" s="274" t="s">
        <v>926</v>
      </c>
      <c r="F40" s="274" t="s">
        <v>573</v>
      </c>
      <c r="G40" s="271" t="str">
        <f>IF(OR('_SB Analysis'!$I$25&lt;&gt;"OK",COUNT($G$16)&lt;&gt;1,$G$16&lt;0),"",ROUND(SBBeamSteelArea(40,$C$40:$D$47,$C$110:$D$117,$G$14:$G$16,$G$58),0))</f>
        <v/>
      </c>
      <c r="H40" s="271" t="s">
        <v>362</v>
      </c>
      <c r="I40" s="285" t="str">
        <f>IF(OR('_SB Analysis'!$I$25&lt;&gt;"OK",COUNT($G$16)&lt;&gt;1,$G$16&lt;0),"",", "&amp;ROUND(G40/(G14*G15)*100,2)&amp;"%)")</f>
        <v/>
      </c>
      <c r="J40" s="116"/>
      <c r="K40" s="112"/>
      <c r="L40" s="119"/>
      <c r="M40" s="119"/>
      <c r="N40" s="286" t="str">
        <f>IF(OR('_SB Analysis'!$I$25&lt;&gt;"OK",COUNT($G$16)&lt;&gt;1,$G$16&lt;0),"",IF(OR(NOT(SBBeamBarsFit(40,$C$40:$D$47,$C$110:$D$117,$G$14:$G$16,$G$58)),G40/(G14*G15)*100&gt;MIN(4,T11)),"NOT OKAY",IF(G40=0,"NOT OKAY",IF((K36&gt;G40),"NOT OKAY",IF(ROUND(G40/(G14*G15)*100,2)&lt;IF(K36=0,0.13,0.2),"NOT OKAY",IF(ROUND(G40/(G14*G15)*100,2)&gt;T11,"NOT OKAY","OKAY"))))))</f>
        <v/>
      </c>
      <c r="O40" s="132"/>
      <c r="R40" s="517" t="str">
        <f>IF(AND((IFERROR(IF('_SB Analysis'!I25&lt;&gt;"OK","INPUT REQUIRED",IF(OR(G16="",NOT(ISNUMBER(G16)),G16&lt;0,AND(G13&lt;&gt;"",NOT(ISNUMBER(G13))),G13&lt;0),"INPUT REQUIRED",IF(LEFT(R24,12)="AUTO STOPPED","REVIEW REQUIRED",IF('_SB Helpers'!T21="OKAY","OKAY","NOT OKAY")))),"REVIEW REQUIRED"))="OKAY",NOT(BarSizeRule84(C40:D47,C110:D117))),"REVIEW: BAR SIZE RULE",IFERROR(IF('_SB Analysis'!I25&lt;&gt;"OK","INPUT REQUIRED",IF(OR(G16="",NOT(ISNUMBER(G16)),G16&lt;0,AND(G13&lt;&gt;"",NOT(ISNUMBER(G13))),G13&lt;0),"INPUT REQUIRED",IF(LEFT(R24,12)="AUTO STOPPED","REVIEW REQUIRED",IF('_SB Helpers'!T21="OKAY","OKAY","NOT OKAY")))),"REVIEW REQUIRED"))</f>
        <v>INPUT REQUIRED</v>
      </c>
      <c r="S40" s="517"/>
      <c r="T40" s="517"/>
      <c r="U40" s="517"/>
      <c r="V40" s="517"/>
      <c r="X40"/>
      <c r="Y40"/>
      <c r="Z40"/>
      <c r="AA40"/>
      <c r="AB40"/>
      <c r="AC40"/>
      <c r="AD40"/>
      <c r="AE40"/>
      <c r="AF40"/>
      <c r="AG40"/>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v>11</v>
      </c>
      <c r="D41" s="305">
        <v>40</v>
      </c>
      <c r="E41" s="116"/>
      <c r="F41" s="116"/>
      <c r="G41" s="116"/>
      <c r="H41" s="116"/>
      <c r="I41" s="116"/>
      <c r="J41" s="116"/>
      <c r="K41" s="112"/>
      <c r="L41" s="119"/>
      <c r="M41" s="119"/>
      <c r="N41" s="538" t="str">
        <f>IF(OR('_SB Analysis'!$I$25&lt;&gt;"OK",COUNT($G$16)&lt;&gt;1,$G$16&lt;0),"",IF(K36=0,"",IF((K36&gt;G40),"(Increase As')",IF(ROUND(G40/(G14*G15)*100,2)&lt;0.2,"(Increase As')",IF(ROUND(G40/(G14*G15)*100,2)&gt;4,"(Decrease As')","")))))</f>
        <v/>
      </c>
      <c r="O41" s="539"/>
      <c r="R41" s="517"/>
      <c r="S41" s="517"/>
      <c r="T41" s="517"/>
      <c r="U41" s="517"/>
      <c r="V41" s="517"/>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v>11</v>
      </c>
      <c r="D42" s="305">
        <v>40</v>
      </c>
      <c r="E42" s="116"/>
      <c r="F42" s="116"/>
      <c r="G42" s="116"/>
      <c r="H42" s="116"/>
      <c r="I42" s="116"/>
      <c r="J42" s="116"/>
      <c r="K42" s="112"/>
      <c r="L42" s="119"/>
      <c r="M42" s="119"/>
      <c r="N42" s="116"/>
      <c r="O42" s="113"/>
      <c r="R42"/>
      <c r="S42"/>
      <c r="T42"/>
      <c r="U42"/>
      <c r="V42" s="96"/>
    </row>
    <row r="43" spans="1:85" ht="19.5" customHeight="1">
      <c r="A43" s="116"/>
      <c r="B43" s="277" t="s">
        <v>609</v>
      </c>
      <c r="C43" s="304">
        <v>11</v>
      </c>
      <c r="D43" s="305">
        <v>40</v>
      </c>
      <c r="E43" s="116"/>
      <c r="F43" s="116"/>
      <c r="G43" s="116"/>
      <c r="H43" s="116"/>
      <c r="I43" s="116"/>
      <c r="J43" s="116"/>
      <c r="K43" s="112"/>
      <c r="L43" s="119"/>
      <c r="M43" s="119"/>
      <c r="N43" s="116"/>
      <c r="O43" s="113"/>
      <c r="R43" s="431" t="s">
        <v>769</v>
      </c>
      <c r="S43" s="431"/>
      <c r="T43" s="507">
        <v>24.5</v>
      </c>
      <c r="U43" s="431"/>
      <c r="V43" s="431"/>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11</v>
      </c>
      <c r="D44" s="305">
        <v>40</v>
      </c>
      <c r="E44" s="274" t="s">
        <v>927</v>
      </c>
      <c r="F44" s="274" t="s">
        <v>573</v>
      </c>
      <c r="G44" s="271" t="str">
        <f>IF(OR('_SB Analysis'!$I$25&lt;&gt;"OK",COUNT($G$16)&lt;&gt;1,$G$16&lt;0),"",ROUND(SBBeamSteelArea(44,$C$40:$D$47,$C$110:$D$117,$G$14:$G$16,$G$58),0))</f>
        <v/>
      </c>
      <c r="H44" s="271" t="s">
        <v>362</v>
      </c>
      <c r="I44" s="285" t="str">
        <f>IF(OR('_SB Analysis'!$I$25&lt;&gt;"OK",COUNT($G$16)&lt;&gt;1,$G$16&lt;0),"",", "&amp;ROUND(G44/(G14*G15)*100,2)&amp;"%)")</f>
        <v/>
      </c>
      <c r="J44" s="116"/>
      <c r="K44" s="116"/>
      <c r="L44" s="116"/>
      <c r="M44" s="116"/>
      <c r="N44" s="286" t="str">
        <f>IF(OR('_SB Analysis'!$I$25&lt;&gt;"OK",COUNT($G$16)&lt;&gt;1,$G$16&lt;0),"",IF(OR(NOT(SBBeamBarsFit(44,$C$40:$D$47,$C$110:$D$117,$G$14:$G$16,$G$58)),G44/(G14*G15)*100&gt;MIN(4,T11)),"NOT OKAY",IF((G44&gt;=K38)*AND(ROUND(G44/(G14*G15)*100,2)&gt;0.13)*AND(G44/(G14*G15)*100&lt;=MIN(4,T11)),"OKAY","NOT OKAY")))</f>
        <v/>
      </c>
      <c r="O44" s="132"/>
      <c r="R44" s="431"/>
      <c r="S44" s="431"/>
      <c r="T44" s="431"/>
      <c r="U44" s="431"/>
      <c r="V44" s="431"/>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v>11</v>
      </c>
      <c r="D45" s="305">
        <v>40</v>
      </c>
      <c r="E45" s="116"/>
      <c r="F45" s="112"/>
      <c r="G45" s="116"/>
      <c r="H45" s="116"/>
      <c r="I45" s="116"/>
      <c r="J45" s="116"/>
      <c r="K45" s="116"/>
      <c r="L45" s="116"/>
      <c r="M45" s="116"/>
      <c r="N45" s="538" t="str">
        <f>IF(OR('_SB Analysis'!$I$25&lt;&gt;"OK",COUNT($G$16)&lt;&gt;1,$G$16&lt;0),"",IF((K38&gt;G44),"(Increase As)",IF(ROUND(G44/(G14*G15)*100,2)&lt;0.13,"(Increase As)",IF(ROUND(G44/(G14*G15)*100,2)&gt;4,"(Decrease As)",""))))</f>
        <v/>
      </c>
      <c r="O45" s="539"/>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v>11</v>
      </c>
      <c r="D46" s="305">
        <v>40</v>
      </c>
      <c r="E46" s="116"/>
      <c r="F46" s="116"/>
      <c r="G46" s="116"/>
      <c r="H46" s="116"/>
      <c r="I46" s="116"/>
      <c r="J46" s="116"/>
      <c r="K46" s="116"/>
      <c r="L46" s="116"/>
      <c r="M46" s="116"/>
      <c r="N46" s="116"/>
      <c r="O46" s="116"/>
    </row>
    <row r="47" spans="1:85" ht="19.5" customHeight="1">
      <c r="A47" s="116"/>
      <c r="B47" s="277" t="s">
        <v>609</v>
      </c>
      <c r="C47" s="304">
        <v>11</v>
      </c>
      <c r="D47" s="305">
        <v>40</v>
      </c>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95" t="s">
        <v>770</v>
      </c>
      <c r="S48" s="495"/>
      <c r="T48" s="495"/>
      <c r="U48" s="495"/>
      <c r="V48" s="495"/>
      <c r="W48" s="495"/>
      <c r="X48" s="495"/>
      <c r="Y48" s="495"/>
      <c r="Z48" s="495"/>
      <c r="AA48" s="495"/>
      <c r="AB48" s="495"/>
      <c r="AC48" s="495"/>
      <c r="AD48" s="495"/>
      <c r="AE48" s="495"/>
      <c r="AF48" s="495"/>
      <c r="AG48" s="495"/>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96"/>
      <c r="S49" s="496"/>
      <c r="T49" s="496"/>
      <c r="U49" s="496"/>
      <c r="V49" s="496"/>
      <c r="W49" s="496"/>
      <c r="X49" s="496"/>
      <c r="Y49" s="496"/>
      <c r="Z49" s="496"/>
      <c r="AA49" s="496"/>
      <c r="AB49" s="496"/>
      <c r="AC49" s="496"/>
      <c r="AD49" s="496"/>
      <c r="AE49" s="496"/>
      <c r="AF49" s="496"/>
      <c r="AG49" s="496"/>
      <c r="BR49" s="484" t="s">
        <v>1004</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R50" s="98"/>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IF(OR('_SB Analysis'!$I$25&lt;&gt;"OK",COUNT($G$16)&lt;&gt;1,$G$16&lt;0),"",ROUND(G24*1000/(G14*G29),3))</f>
        <v/>
      </c>
      <c r="L51" s="289" t="s">
        <v>585</v>
      </c>
      <c r="M51" s="119"/>
      <c r="N51" s="280" t="s">
        <v>615</v>
      </c>
      <c r="O51" s="113"/>
      <c r="R51" s="495" t="s">
        <v>771</v>
      </c>
      <c r="S51" s="495"/>
      <c r="T51" s="495"/>
      <c r="U51" s="495"/>
      <c r="V51" s="495"/>
      <c r="W51" s="495"/>
      <c r="X51" s="495" t="s">
        <v>772</v>
      </c>
      <c r="Y51" s="495"/>
      <c r="Z51" s="495"/>
      <c r="AA51" s="495" t="s">
        <v>773</v>
      </c>
      <c r="AB51" s="495"/>
      <c r="AC51" s="495"/>
      <c r="AD51" s="495" t="s">
        <v>774</v>
      </c>
      <c r="AE51" s="495"/>
      <c r="AF51" s="495"/>
      <c r="AG51" s="495"/>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IF(OR('_SB Analysis'!$I$25&lt;&gt;"OK",COUNT($G$16)&lt;&gt;1,$G$16&lt;0),"",IF(K51&gt;G52,"&gt;","&lt;"))</f>
        <v/>
      </c>
      <c r="G52" s="290">
        <v>7</v>
      </c>
      <c r="H52" s="289" t="s">
        <v>585</v>
      </c>
      <c r="I52" s="116"/>
      <c r="J52" s="274" t="str">
        <f>IF(OR('_SB Analysis'!$I$25&lt;&gt;"OK",COUNT($G$16)&lt;&gt;1,$G$16&lt;0),"",IF(K51&gt;(0.8*G17^0.5),"&gt;","&lt;"))</f>
        <v/>
      </c>
      <c r="K52" s="278" t="s">
        <v>928</v>
      </c>
      <c r="L52" s="119"/>
      <c r="M52" s="119"/>
      <c r="N52" s="286" t="str">
        <f>IF(OR('_SB Analysis'!$I$25&lt;&gt;"OK",COUNT($G$16)&lt;&gt;1,$G$16&lt;0),"",IF(K51&lt;(MIN(G52,0.8*G17^0.5)),"OKAY","NOT OKAY"))</f>
        <v/>
      </c>
      <c r="O52" s="116"/>
      <c r="R52" s="496"/>
      <c r="S52" s="496"/>
      <c r="T52" s="496"/>
      <c r="U52" s="496"/>
      <c r="V52" s="496"/>
      <c r="W52" s="496"/>
      <c r="X52" s="496"/>
      <c r="Y52" s="496"/>
      <c r="Z52" s="496"/>
      <c r="AA52" s="496"/>
      <c r="AB52" s="496"/>
      <c r="AC52" s="496"/>
      <c r="AD52" s="496"/>
      <c r="AE52" s="496"/>
      <c r="AF52" s="496"/>
      <c r="AG52" s="496"/>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IF(OR('_SB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IF(OR('_SB Analysis'!$I$25&lt;&gt;"OK",COUNT($G$16)&lt;&gt;1,$G$16&lt;0),"",MIN(MAX(0.4,0.4*(G17/40)^(2/3)),0.4*(80/40)^(2/3)))</f>
        <v/>
      </c>
      <c r="H54" s="289" t="s">
        <v>585</v>
      </c>
      <c r="I54" s="116"/>
      <c r="J54" s="116"/>
      <c r="K54" s="116"/>
      <c r="L54" s="116"/>
      <c r="M54" s="116"/>
      <c r="N54" s="280" t="s">
        <v>619</v>
      </c>
      <c r="O54" s="113"/>
      <c r="R54" s="494" t="s">
        <v>775</v>
      </c>
      <c r="S54" s="494"/>
      <c r="T54" s="494"/>
      <c r="U54" s="494"/>
      <c r="V54" s="494"/>
      <c r="W54" s="494"/>
      <c r="X54" s="506" t="str">
        <f>IF(AB22&lt;&gt;"OK","",IF(AB8="No",0,IF(AB10="Simply-supported",AB24*AB26,AB28)))</f>
        <v/>
      </c>
      <c r="Y54" s="506"/>
      <c r="Z54" s="506"/>
      <c r="AA54" s="506" t="str">
        <f>IF(AE22&lt;&gt;"OK","",IF(AE8="No",0,IF(AE10="Simply-supported",AE24*AE26,AE28)))</f>
        <v/>
      </c>
      <c r="AB54" s="506"/>
      <c r="AC54" s="506"/>
      <c r="AD54" s="506" t="str">
        <f>IF(COUNT(X54,AA54)=2,SUM(X54,AA54),"")</f>
        <v/>
      </c>
      <c r="AE54" s="506"/>
      <c r="AF54" s="506"/>
      <c r="AG54" s="506"/>
    </row>
    <row r="55" spans="1:85" ht="19.5" customHeight="1">
      <c r="A55" s="116"/>
      <c r="B55" s="116"/>
      <c r="C55" s="113"/>
      <c r="D55" s="119"/>
      <c r="E55" s="112"/>
      <c r="F55" s="112"/>
      <c r="G55" s="292" t="str">
        <f>IF(OR('_SB Analysis'!$I$25&lt;&gt;"OK",COUNT($G$16)&lt;&gt;1,$G$16&lt;0),"",IF(0.5*G53&gt;K51,"v &lt; 0.5vc",IF(G53+G54&gt;K51,"0.5vc &lt; v &lt; vc+vr","vc+vr &lt; v &lt; 0.8fcu^.5 or 7")))</f>
        <v/>
      </c>
      <c r="H55" s="119"/>
      <c r="I55" s="116"/>
      <c r="J55" s="116"/>
      <c r="K55" s="116"/>
      <c r="L55" s="116"/>
      <c r="M55" s="116"/>
      <c r="N55" s="139"/>
      <c r="O55" s="113"/>
      <c r="R55" s="494"/>
      <c r="S55" s="494"/>
      <c r="T55" s="494"/>
      <c r="U55" s="494"/>
      <c r="V55" s="494"/>
      <c r="W55" s="494"/>
      <c r="X55" s="506"/>
      <c r="Y55" s="506"/>
      <c r="Z55" s="506"/>
      <c r="AA55" s="506"/>
      <c r="AB55" s="506"/>
      <c r="AC55" s="506"/>
      <c r="AD55" s="506"/>
      <c r="AE55" s="506"/>
      <c r="AF55" s="506"/>
      <c r="AG55" s="506"/>
    </row>
    <row r="56" spans="1:85" ht="19.5" customHeight="1">
      <c r="A56" s="116"/>
      <c r="B56" s="528" t="s">
        <v>620</v>
      </c>
      <c r="C56" s="525"/>
      <c r="D56" s="530" t="s">
        <v>931</v>
      </c>
      <c r="E56" s="274" t="s">
        <v>932</v>
      </c>
      <c r="F56" s="524" t="s">
        <v>573</v>
      </c>
      <c r="G56" s="540" t="str">
        <f>IF(OR('_SB Analysis'!$I$25&lt;&gt;"OK",COUNT($G$16)&lt;&gt;1,$G$16&lt;0),"",IF((G54+G53)&gt;K51,"vr b "," b (v-vc)"))</f>
        <v/>
      </c>
      <c r="H56" s="525"/>
      <c r="I56" s="116"/>
      <c r="J56" s="524" t="s">
        <v>573</v>
      </c>
      <c r="K56" s="541" t="str">
        <f>IF(OR('_SB Analysis'!$I$25&lt;&gt;"OK",COUNT($G$16)&lt;&gt;1,$G$16&lt;0),"",ROUND(IF(G53+G54&gt;K51,G54*G14/(0.87*G19),(K51-G53)*G14/(0.87*G19)),3))</f>
        <v/>
      </c>
      <c r="L56" s="271" t="s">
        <v>362</v>
      </c>
      <c r="M56" s="116"/>
      <c r="N56" s="139"/>
      <c r="O56" s="113"/>
      <c r="R56" s="494" t="s">
        <v>776</v>
      </c>
      <c r="S56" s="494"/>
      <c r="T56" s="494"/>
      <c r="U56" s="494"/>
      <c r="V56" s="494"/>
      <c r="W56" s="494"/>
      <c r="X56" s="506" t="str">
        <f>IF(AB22&lt;&gt;"OK","",IF(AB8="No",0,IF(AB10="Simply-supported",AB16*AB26,AB30)))</f>
        <v/>
      </c>
      <c r="Y56" s="506"/>
      <c r="Z56" s="506"/>
      <c r="AA56" s="506" t="str">
        <f>IF(AE22&lt;&gt;"OK","",IF(AE8="No",0,IF(AE10="Simply-supported",AE16*AE26,AE30)))</f>
        <v/>
      </c>
      <c r="AB56" s="506"/>
      <c r="AC56" s="506"/>
      <c r="AD56" s="506" t="str">
        <f>IFERROR(IF(INDEX('_Input Engine'!$M$31:$M$50,MATCH(C9,'_Input Engine'!$A$31:$A$50,0))="","",INDEX('_Input Engine'!$M$31:$M$50,MATCH(C9,'_Input Engine'!$A$31:$A$50,0))),"")</f>
        <v/>
      </c>
      <c r="AE56" s="500"/>
      <c r="AF56" s="500"/>
      <c r="AG56" s="500"/>
    </row>
    <row r="57" spans="1:85" ht="19.5" customHeight="1">
      <c r="A57" s="116"/>
      <c r="B57" s="529"/>
      <c r="C57" s="525"/>
      <c r="D57" s="531"/>
      <c r="E57" s="283" t="s">
        <v>933</v>
      </c>
      <c r="F57" s="525"/>
      <c r="G57" s="536" t="s">
        <v>934</v>
      </c>
      <c r="H57" s="537"/>
      <c r="I57" s="116"/>
      <c r="J57" s="525"/>
      <c r="K57" s="542"/>
      <c r="L57" s="293" t="s">
        <v>579</v>
      </c>
      <c r="M57" s="116"/>
      <c r="N57" s="139"/>
      <c r="O57" s="113"/>
      <c r="R57" s="494"/>
      <c r="S57" s="494"/>
      <c r="T57" s="494"/>
      <c r="U57" s="494"/>
      <c r="V57" s="494"/>
      <c r="W57" s="494"/>
      <c r="X57" s="506"/>
      <c r="Y57" s="506"/>
      <c r="Z57" s="506"/>
      <c r="AA57" s="506"/>
      <c r="AB57" s="506"/>
      <c r="AC57" s="506"/>
      <c r="AD57" s="500"/>
      <c r="AE57" s="500"/>
      <c r="AF57" s="500"/>
      <c r="AG57" s="500"/>
    </row>
    <row r="58" spans="1:85" ht="19.5" customHeight="1">
      <c r="A58" s="116"/>
      <c r="B58" s="271" t="s">
        <v>621</v>
      </c>
      <c r="C58" s="116"/>
      <c r="D58" s="116"/>
      <c r="E58" s="306" t="str">
        <f>IF(OR('_SB Analysis'!$I$25&lt;&gt;"OK",COUNT($G$16)&lt;&gt;1,$G$16&lt;0),"",MAX(2,MAX(C40:C47,C110:C117)))</f>
        <v/>
      </c>
      <c r="F58" s="271" t="s">
        <v>622</v>
      </c>
      <c r="G58" s="307">
        <v>12</v>
      </c>
      <c r="H58" s="308">
        <v>100</v>
      </c>
      <c r="I58" s="274" t="s">
        <v>932</v>
      </c>
      <c r="J58" s="524" t="s">
        <v>573</v>
      </c>
      <c r="K58" s="543" t="str">
        <f>IF(OR('_SB Analysis'!$I$25&lt;&gt;"OK",COUNT($G$16)&lt;&gt;1,$G$16&lt;0),"",IF(H58=0,0,ROUND(G58^2*PI()/4/H58*E58,3)))</f>
        <v/>
      </c>
      <c r="L58" s="271" t="s">
        <v>362</v>
      </c>
      <c r="M58" s="116"/>
      <c r="N58" s="116"/>
      <c r="O58" s="113"/>
      <c r="R58" s="494" t="s">
        <v>212</v>
      </c>
      <c r="S58" s="494"/>
      <c r="T58" s="494"/>
      <c r="U58" s="494"/>
      <c r="V58" s="494"/>
      <c r="W58" s="494"/>
      <c r="X58" s="506" t="str">
        <f>IF(AB22&lt;&gt;"OK","",IF(AB8="No",0,IF(AB10="Simply-supported",AB18*AB26,AB32)))</f>
        <v/>
      </c>
      <c r="Y58" s="506"/>
      <c r="Z58" s="506"/>
      <c r="AA58" s="506" t="str">
        <f>IF(AE22&lt;&gt;"OK","",IF(AE8="No",0,IF(AE10="Simply-supported",AE18*AE26,AE32)))</f>
        <v/>
      </c>
      <c r="AB58" s="506"/>
      <c r="AC58" s="506"/>
      <c r="AD58" s="506" t="str">
        <f>IFERROR(IF(INDEX('_Input Engine'!$N$31:$N$50,MATCH(C9,'_Input Engine'!$A$31:$A$50,0))="","",INDEX('_Input Engine'!$N$31:$N$50,MATCH(C9,'_Input Engine'!$A$31:$A$50,0))),"")</f>
        <v/>
      </c>
      <c r="AE58" s="500"/>
      <c r="AF58" s="500"/>
      <c r="AG58" s="500"/>
    </row>
    <row r="59" spans="1:85" ht="19.5" customHeight="1">
      <c r="A59" s="116"/>
      <c r="B59" s="116"/>
      <c r="C59" s="116"/>
      <c r="D59" s="116"/>
      <c r="E59" s="112"/>
      <c r="F59" s="112"/>
      <c r="G59" s="121"/>
      <c r="H59" s="121"/>
      <c r="I59" s="283" t="s">
        <v>933</v>
      </c>
      <c r="J59" s="525"/>
      <c r="K59" s="542"/>
      <c r="L59" s="293" t="s">
        <v>579</v>
      </c>
      <c r="M59" s="116"/>
      <c r="N59" s="286" t="str">
        <f>IF(OR('_SB Analysis'!$I$25&lt;&gt;"OK",COUNT($G$16)&lt;&gt;1,$G$16&lt;0),"",IF(K58&gt;K56,IF(H58&lt;0.75*G29,"OKAY","NOT OKAY"),"NOT OKAY"))</f>
        <v/>
      </c>
      <c r="O59" s="116"/>
      <c r="R59" s="494"/>
      <c r="S59" s="494"/>
      <c r="T59" s="494"/>
      <c r="U59" s="494"/>
      <c r="V59" s="494"/>
      <c r="W59" s="494"/>
      <c r="X59" s="506"/>
      <c r="Y59" s="506"/>
      <c r="Z59" s="506"/>
      <c r="AA59" s="506"/>
      <c r="AB59" s="506"/>
      <c r="AC59" s="506"/>
      <c r="AD59" s="500"/>
      <c r="AE59" s="500"/>
      <c r="AF59" s="500"/>
      <c r="AG59" s="500"/>
    </row>
    <row r="60" spans="1:85" ht="7.95" customHeight="1">
      <c r="A60" s="116"/>
      <c r="B60" s="116"/>
      <c r="C60" s="113"/>
      <c r="D60" s="119"/>
      <c r="E60" s="116"/>
      <c r="F60" s="116"/>
      <c r="G60" s="116"/>
      <c r="H60" s="116"/>
      <c r="I60" s="116"/>
      <c r="J60" s="116"/>
      <c r="K60" s="112"/>
      <c r="L60" s="119"/>
      <c r="M60" s="119"/>
      <c r="N60" s="116"/>
      <c r="O60" s="113"/>
      <c r="R60" s="494" t="s">
        <v>213</v>
      </c>
      <c r="S60" s="494"/>
      <c r="T60" s="494"/>
      <c r="U60" s="494"/>
      <c r="V60" s="494"/>
      <c r="W60" s="494"/>
      <c r="X60" s="506" t="str">
        <f>IF(AB22&lt;&gt;"OK","",IF(AB8="No",0,IF(AB10="Simply-supported",AB20*AB26,AB34)))</f>
        <v/>
      </c>
      <c r="Y60" s="506"/>
      <c r="Z60" s="506"/>
      <c r="AA60" s="506" t="str">
        <f>IF(AE22&lt;&gt;"OK","",IF(AE8="No",0,IF(AE10="Simply-supported",AE20*AE26,AE34)))</f>
        <v/>
      </c>
      <c r="AB60" s="506"/>
      <c r="AC60" s="506"/>
      <c r="AD60" s="506" t="str">
        <f>IFERROR(IF(INDEX('_Input Engine'!$O$31:$O$50,MATCH(C9,'_Input Engine'!$A$31:$A$50,0))="","",INDEX('_Input Engine'!$O$31:$O$50,MATCH(C9,'_Input Engine'!$A$31:$A$50,0))),"")</f>
        <v/>
      </c>
      <c r="AE60" s="500"/>
      <c r="AF60" s="500"/>
      <c r="AG60" s="500"/>
    </row>
    <row r="61" spans="1:85" ht="25.05" customHeight="1">
      <c r="A61" s="116"/>
      <c r="B61" s="146" t="s">
        <v>952</v>
      </c>
      <c r="C61" s="146"/>
      <c r="D61" s="146"/>
      <c r="E61" s="141"/>
      <c r="F61" s="142"/>
      <c r="G61" s="143"/>
      <c r="H61" s="143"/>
      <c r="I61" s="141"/>
      <c r="J61" s="141"/>
      <c r="K61" s="141"/>
      <c r="L61" s="141"/>
      <c r="M61" s="141"/>
      <c r="N61" s="144" t="s">
        <v>623</v>
      </c>
      <c r="O61" s="141"/>
      <c r="R61" s="494"/>
      <c r="S61" s="494"/>
      <c r="T61" s="494"/>
      <c r="U61" s="494"/>
      <c r="V61" s="494"/>
      <c r="W61" s="494"/>
      <c r="X61" s="506"/>
      <c r="Y61" s="506"/>
      <c r="Z61" s="506"/>
      <c r="AA61" s="506"/>
      <c r="AB61" s="506"/>
      <c r="AC61" s="506"/>
      <c r="AD61" s="500"/>
      <c r="AE61" s="500"/>
      <c r="AF61" s="500"/>
      <c r="AG61" s="500"/>
    </row>
    <row r="62" spans="1:85" ht="7.95" customHeight="1">
      <c r="A62" s="116"/>
      <c r="B62" s="116"/>
      <c r="C62" s="116"/>
      <c r="D62" s="116"/>
      <c r="E62" s="116"/>
      <c r="F62" s="116"/>
      <c r="G62" s="116"/>
      <c r="H62" s="116"/>
      <c r="I62" s="116"/>
      <c r="J62" s="116"/>
      <c r="K62" s="116"/>
      <c r="L62" s="116"/>
      <c r="M62" s="116"/>
      <c r="N62" s="116"/>
      <c r="O62" s="116"/>
      <c r="R62" s="494" t="s">
        <v>777</v>
      </c>
      <c r="S62" s="494"/>
      <c r="T62" s="494"/>
      <c r="U62" s="494"/>
      <c r="V62" s="494"/>
      <c r="W62" s="494"/>
      <c r="X62" s="506"/>
      <c r="Y62" s="506"/>
      <c r="Z62" s="506"/>
      <c r="AA62" s="506"/>
      <c r="AB62" s="506"/>
      <c r="AC62" s="506"/>
      <c r="AD62" s="506" t="str">
        <f>IF(COUNT(G14:G15)&lt;&gt;2,"",IF(MIN(G14:G15)&gt;0,T43*G14*G15/1000000,""))</f>
        <v/>
      </c>
      <c r="AE62" s="506"/>
      <c r="AF62" s="506"/>
      <c r="AG62" s="506"/>
    </row>
    <row r="63" spans="1:85" ht="19.5" customHeight="1">
      <c r="A63" s="116"/>
      <c r="B63" s="271" t="s">
        <v>624</v>
      </c>
      <c r="C63" s="116"/>
      <c r="D63" s="116"/>
      <c r="E63" s="524" t="s">
        <v>935</v>
      </c>
      <c r="F63" s="524" t="s">
        <v>573</v>
      </c>
      <c r="G63" s="524" t="s">
        <v>625</v>
      </c>
      <c r="H63" s="525"/>
      <c r="I63" s="525"/>
      <c r="J63" s="524" t="s">
        <v>573</v>
      </c>
      <c r="K63" s="543" t="str">
        <f>IF(OR('_SB Analysis'!$I$25&lt;&gt;"OK",COUNT($G$16)&lt;&gt;1,$G$16&lt;0),"",ROUND(2*K25*10^6/(MIN(G14:G15)^2*(MAX(G14:G15)-MIN(G14:G15)/3)),3))</f>
        <v/>
      </c>
      <c r="L63" s="528" t="s">
        <v>626</v>
      </c>
      <c r="M63" s="111"/>
      <c r="N63" s="534" t="s">
        <v>627</v>
      </c>
      <c r="O63" s="116"/>
      <c r="R63" s="494"/>
      <c r="S63" s="494"/>
      <c r="T63" s="494"/>
      <c r="U63" s="494"/>
      <c r="V63" s="494"/>
      <c r="W63" s="494"/>
      <c r="X63" s="506"/>
      <c r="Y63" s="506"/>
      <c r="Z63" s="506"/>
      <c r="AA63" s="506"/>
      <c r="AB63" s="506"/>
      <c r="AC63" s="506"/>
      <c r="AD63" s="506"/>
      <c r="AE63" s="506"/>
      <c r="AF63" s="506"/>
      <c r="AG63" s="506"/>
    </row>
    <row r="64" spans="1:85" ht="19.5" customHeight="1">
      <c r="A64" s="116"/>
      <c r="B64" s="116"/>
      <c r="C64" s="116"/>
      <c r="D64" s="116"/>
      <c r="E64" s="525"/>
      <c r="F64" s="525"/>
      <c r="G64" s="536" t="s">
        <v>936</v>
      </c>
      <c r="H64" s="537"/>
      <c r="I64" s="537"/>
      <c r="J64" s="525"/>
      <c r="K64" s="531"/>
      <c r="L64" s="529"/>
      <c r="M64" s="111"/>
      <c r="N64" s="535"/>
      <c r="O64" s="116"/>
      <c r="R64" s="494" t="s">
        <v>778</v>
      </c>
      <c r="S64" s="494"/>
      <c r="T64" s="494"/>
      <c r="U64" s="494"/>
      <c r="V64" s="494"/>
      <c r="W64" s="494"/>
      <c r="X64" s="506"/>
      <c r="Y64" s="506"/>
      <c r="Z64" s="506"/>
      <c r="AA64" s="506"/>
      <c r="AB64" s="506"/>
      <c r="AC64" s="506"/>
      <c r="AD64" s="506" t="str">
        <f>IF(OR(AB22&lt;&gt;"OK",AE22&lt;&gt;"OK",NOT(ISNUMBER(AD62))),"",T43*G14/1000*(IF(AB8="Yes",AB14,0)+IF(AE8="Yes",AE14,0))/2000)</f>
        <v/>
      </c>
      <c r="AE64" s="506"/>
      <c r="AF64" s="506"/>
      <c r="AG64" s="506"/>
    </row>
    <row r="65" spans="1:33" ht="19.5" customHeight="1">
      <c r="A65" s="116"/>
      <c r="B65" s="271" t="s">
        <v>628</v>
      </c>
      <c r="C65" s="116"/>
      <c r="D65" s="116"/>
      <c r="E65" s="274" t="s">
        <v>937</v>
      </c>
      <c r="F65" s="274" t="s">
        <v>573</v>
      </c>
      <c r="G65" s="271" t="str">
        <f>IF(OR('_SB Analysis'!$I$25&lt;&gt;"OK",COUNT($G$16)&lt;&gt;1,$G$16&lt;0),"",ROUND(MIN(0.6,0.067*G17^0.5),3))</f>
        <v/>
      </c>
      <c r="H65" s="289" t="s">
        <v>585</v>
      </c>
      <c r="I65" s="116"/>
      <c r="J65" s="112"/>
      <c r="K65" s="131"/>
      <c r="L65" s="116"/>
      <c r="M65" s="116"/>
      <c r="N65" s="534" t="s">
        <v>629</v>
      </c>
      <c r="O65" s="116"/>
      <c r="R65" s="494"/>
      <c r="S65" s="494"/>
      <c r="T65" s="494"/>
      <c r="U65" s="494"/>
      <c r="V65" s="494"/>
      <c r="W65" s="494"/>
      <c r="X65" s="506"/>
      <c r="Y65" s="506"/>
      <c r="Z65" s="506"/>
      <c r="AA65" s="506"/>
      <c r="AB65" s="506"/>
      <c r="AC65" s="506"/>
      <c r="AD65" s="506"/>
      <c r="AE65" s="506"/>
      <c r="AF65" s="506"/>
      <c r="AG65" s="506"/>
    </row>
    <row r="66" spans="1:33" ht="19.5" customHeight="1">
      <c r="A66" s="116"/>
      <c r="B66" s="271" t="s">
        <v>630</v>
      </c>
      <c r="C66" s="116"/>
      <c r="D66" s="116"/>
      <c r="E66" s="274" t="s">
        <v>938</v>
      </c>
      <c r="F66" s="274" t="s">
        <v>573</v>
      </c>
      <c r="G66" s="271" t="str">
        <f>IF(OR('_SB Analysis'!$I$25&lt;&gt;"OK",COUNT($G$16)&lt;&gt;1,$G$16&lt;0),"",ROUND(MIN(7,0.8*G17^0.5),3))</f>
        <v/>
      </c>
      <c r="H66" s="289" t="s">
        <v>585</v>
      </c>
      <c r="I66" s="116"/>
      <c r="J66" s="112"/>
      <c r="K66" s="131"/>
      <c r="L66" s="116"/>
      <c r="M66" s="116"/>
      <c r="N66" s="535"/>
      <c r="O66" s="116"/>
      <c r="R66" s="503" t="s">
        <v>779</v>
      </c>
      <c r="S66" s="503"/>
      <c r="T66" s="503"/>
      <c r="U66" s="503"/>
      <c r="V66" s="503"/>
      <c r="W66" s="503"/>
      <c r="X66" s="504"/>
      <c r="Y66" s="504"/>
      <c r="Z66" s="504"/>
      <c r="AA66" s="504"/>
      <c r="AB66" s="504"/>
      <c r="AC66" s="504"/>
      <c r="AD66" s="504" t="str">
        <f>IF(COUNT(AD54,AD56,AD58,AD62,AD64)=5,AD54+AD56+AD58+AD62-AD64,"")</f>
        <v/>
      </c>
      <c r="AE66" s="504"/>
      <c r="AF66" s="504"/>
      <c r="AG66" s="504"/>
    </row>
    <row r="67" spans="1:33" ht="19.5" customHeight="1">
      <c r="A67" s="116"/>
      <c r="B67" s="278" t="s">
        <v>631</v>
      </c>
      <c r="C67" s="111"/>
      <c r="D67" s="111"/>
      <c r="E67" s="284" t="s">
        <v>939</v>
      </c>
      <c r="F67" s="274" t="s">
        <v>573</v>
      </c>
      <c r="G67" s="295" t="str">
        <f>IF(OR('_SB Analysis'!$I$25&lt;&gt;"OK",COUNT($G$16)&lt;&gt;1,$G$16&lt;0),"",MIN(G14:G15)-2*G16-G58)</f>
        <v/>
      </c>
      <c r="H67" s="295" t="s">
        <v>579</v>
      </c>
      <c r="I67" s="116"/>
      <c r="J67" s="116"/>
      <c r="K67" s="116"/>
      <c r="L67" s="116"/>
      <c r="M67" s="116"/>
      <c r="N67" s="116"/>
      <c r="O67" s="116"/>
      <c r="R67" s="503"/>
      <c r="S67" s="503"/>
      <c r="T67" s="503"/>
      <c r="U67" s="503"/>
      <c r="V67" s="503"/>
      <c r="W67" s="503"/>
      <c r="X67" s="504"/>
      <c r="Y67" s="504"/>
      <c r="Z67" s="504"/>
      <c r="AA67" s="504"/>
      <c r="AB67" s="504"/>
      <c r="AC67" s="504"/>
      <c r="AD67" s="504"/>
      <c r="AE67" s="504"/>
      <c r="AF67" s="504"/>
      <c r="AG67" s="504"/>
    </row>
    <row r="68" spans="1:33" ht="19.5" customHeight="1">
      <c r="A68" s="116"/>
      <c r="B68" s="278" t="s">
        <v>632</v>
      </c>
      <c r="C68" s="111"/>
      <c r="D68" s="111"/>
      <c r="E68" s="284" t="s">
        <v>940</v>
      </c>
      <c r="F68" s="274" t="s">
        <v>573</v>
      </c>
      <c r="G68" s="295" t="str">
        <f>IF(OR('_SB Analysis'!$I$25&lt;&gt;"OK",COUNT($G$16)&lt;&gt;1,$G$16&lt;0),"",MAX(G14:G15)-2*G16-G58)</f>
        <v/>
      </c>
      <c r="H68" s="295" t="s">
        <v>579</v>
      </c>
      <c r="I68" s="116"/>
      <c r="J68" s="116"/>
      <c r="K68" s="116"/>
      <c r="L68" s="116"/>
      <c r="M68" s="116"/>
      <c r="N68" s="116"/>
      <c r="O68" s="116"/>
      <c r="R68" s="503" t="s">
        <v>780</v>
      </c>
      <c r="S68" s="503"/>
      <c r="T68" s="503"/>
      <c r="U68" s="503"/>
      <c r="V68" s="503"/>
      <c r="W68" s="503"/>
      <c r="X68" s="504"/>
      <c r="Y68" s="504"/>
      <c r="Z68" s="504"/>
      <c r="AA68" s="504"/>
      <c r="AB68" s="504"/>
      <c r="AC68" s="504"/>
      <c r="AD68" s="504" t="str">
        <f>IF(ISNUMBER(AD60),AD60,"")</f>
        <v/>
      </c>
      <c r="AE68" s="504"/>
      <c r="AF68" s="504"/>
      <c r="AG68" s="504"/>
    </row>
    <row r="69" spans="1:33" ht="19.5" customHeight="1">
      <c r="A69" s="116"/>
      <c r="B69" s="277" t="s">
        <v>941</v>
      </c>
      <c r="C69" s="274" t="str">
        <f>IF(OR('_SB Analysis'!$I$25&lt;&gt;"OK",COUNT($G$16)&lt;&gt;1,$G$16&lt;0),"",IF(K51+K63&gt;G66,"&gt;","&lt;"))</f>
        <v/>
      </c>
      <c r="D69" s="278" t="s">
        <v>938</v>
      </c>
      <c r="E69" s="265" t="s">
        <v>940</v>
      </c>
      <c r="F69" s="274" t="str">
        <f>IF(OR('_SB Analysis'!$I$25&lt;&gt;"OK",COUNT($G$16)&lt;&gt;1,$G$16&lt;0),"",IF(G68&gt;G69,"&gt;","&lt;"))</f>
        <v/>
      </c>
      <c r="G69" s="296">
        <v>550</v>
      </c>
      <c r="H69" s="122"/>
      <c r="I69" s="277" t="str">
        <f>IF(OR('_SB Analysis'!$I$25&lt;&gt;"OK",COUNT($G$16)&lt;&gt;1,$G$16&lt;0),"",IF(G68&lt;550,"vt",""))</f>
        <v/>
      </c>
      <c r="J69" s="274" t="str">
        <f>IF(OR('_SB Analysis'!$I$25&lt;&gt;"OK",COUNT($G$16)&lt;&gt;1,$G$16&lt;0),"",IF(G68&gt;550,"",IF(K63&gt;(G66*G68/550),"&gt;","&lt;")))</f>
        <v/>
      </c>
      <c r="K69" s="271" t="str">
        <f>IF(OR('_SB Analysis'!$I$25&lt;&gt;"OK",COUNT($G$16)&lt;&gt;1,$G$16&lt;0),"",IF(G68&lt;550,"vtu y1/550",""))</f>
        <v/>
      </c>
      <c r="L69" s="116"/>
      <c r="M69" s="116"/>
      <c r="N69" s="286" t="str">
        <f>IF(OR('_SB Analysis'!$I$25&lt;&gt;"OK",COUNT($G$16)&lt;&gt;1,$G$16&lt;0),"",IF(C69="&lt;",IF(J69="&gt;","NOT OKAY","OKAY"),"NOT OKAY"))</f>
        <v/>
      </c>
      <c r="O69" s="116"/>
      <c r="R69" s="503"/>
      <c r="S69" s="503"/>
      <c r="T69" s="503"/>
      <c r="U69" s="503"/>
      <c r="V69" s="503"/>
      <c r="W69" s="503"/>
      <c r="X69" s="504"/>
      <c r="Y69" s="504"/>
      <c r="Z69" s="504"/>
      <c r="AA69" s="504"/>
      <c r="AB69" s="504"/>
      <c r="AC69" s="504"/>
      <c r="AD69" s="504"/>
      <c r="AE69" s="504"/>
      <c r="AF69" s="504"/>
      <c r="AG69" s="504"/>
    </row>
    <row r="70" spans="1:33" ht="19.5" customHeight="1">
      <c r="A70" s="116"/>
      <c r="B70" s="277" t="s">
        <v>613</v>
      </c>
      <c r="C70" s="274" t="str">
        <f>IF(OR('_SB Analysis'!$I$25&lt;&gt;"OK",COUNT($G$16)&lt;&gt;1,$G$16&lt;0),"",IF(K51&gt;(G53+G54),"&gt;","&lt;"))</f>
        <v/>
      </c>
      <c r="D70" s="278" t="s">
        <v>942</v>
      </c>
      <c r="E70" s="265" t="s">
        <v>935</v>
      </c>
      <c r="F70" s="274" t="str">
        <f>IF(OR('_SB Analysis'!$I$25&lt;&gt;"OK",COUNT($G$16)&lt;&gt;1,$G$16&lt;0),"",IF(K63&gt;G65,"&gt;","&lt;"))</f>
        <v/>
      </c>
      <c r="G70" s="295" t="s">
        <v>937</v>
      </c>
      <c r="H70" s="122"/>
      <c r="I70" s="116"/>
      <c r="J70" s="116"/>
      <c r="K70" s="116"/>
      <c r="L70" s="116"/>
      <c r="M70" s="116"/>
      <c r="N70" s="280" t="s">
        <v>633</v>
      </c>
      <c r="O70" s="116"/>
      <c r="R70" s="503" t="s">
        <v>781</v>
      </c>
      <c r="S70" s="503"/>
      <c r="T70" s="503"/>
      <c r="U70" s="503"/>
      <c r="V70" s="503"/>
      <c r="W70" s="503"/>
      <c r="X70" s="504"/>
      <c r="Y70" s="504"/>
      <c r="Z70" s="504"/>
      <c r="AA70" s="504"/>
      <c r="AB70" s="504"/>
      <c r="AC70" s="504"/>
      <c r="AD70" s="504" t="str">
        <f>IF(COUNT(AD66,AD68)=2,1.4*AD66+1.6*AD68,"")</f>
        <v/>
      </c>
      <c r="AE70" s="504"/>
      <c r="AF70" s="504"/>
      <c r="AG70" s="504"/>
    </row>
    <row r="71" spans="1:33" ht="19.5" customHeight="1">
      <c r="A71" s="116"/>
      <c r="B71" s="111"/>
      <c r="C71" s="277" t="s">
        <v>921</v>
      </c>
      <c r="D71" s="281" t="str">
        <f>IF(OR('_SB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03"/>
      <c r="S71" s="503"/>
      <c r="T71" s="503"/>
      <c r="U71" s="503"/>
      <c r="V71" s="503"/>
      <c r="W71" s="503"/>
      <c r="X71" s="504"/>
      <c r="Y71" s="504"/>
      <c r="Z71" s="504"/>
      <c r="AA71" s="504"/>
      <c r="AB71" s="504"/>
      <c r="AC71" s="504"/>
      <c r="AD71" s="504"/>
      <c r="AE71" s="504"/>
      <c r="AF71" s="504"/>
      <c r="AG71" s="504"/>
    </row>
    <row r="72" spans="1:33" ht="19.5" customHeight="1">
      <c r="A72" s="116"/>
      <c r="B72" s="528" t="s">
        <v>634</v>
      </c>
      <c r="C72" s="113"/>
      <c r="D72" s="123"/>
      <c r="E72" s="274" t="s">
        <v>932</v>
      </c>
      <c r="F72" s="524" t="s">
        <v>573</v>
      </c>
      <c r="G72" s="524" t="s">
        <v>593</v>
      </c>
      <c r="H72" s="525"/>
      <c r="I72" s="116"/>
      <c r="J72" s="524" t="s">
        <v>573</v>
      </c>
      <c r="K72" s="543" t="str">
        <f>IF(OR('_SB Analysis'!$I$25&lt;&gt;"OK",COUNT($G$16)&lt;&gt;1,$G$16&lt;0),"",ROUND(IF(G65&gt;K63,0,K25*10^6/(0.8*G67*G68*(0.87*G19))),3))</f>
        <v/>
      </c>
      <c r="L72" s="271" t="s">
        <v>362</v>
      </c>
      <c r="M72" s="116"/>
      <c r="N72" s="116"/>
      <c r="O72" s="116"/>
      <c r="R72" s="98"/>
    </row>
    <row r="73" spans="1:33" ht="19.5" customHeight="1">
      <c r="A73" s="116"/>
      <c r="B73" s="529"/>
      <c r="C73" s="113"/>
      <c r="D73" s="123"/>
      <c r="E73" s="283" t="s">
        <v>933</v>
      </c>
      <c r="F73" s="525"/>
      <c r="G73" s="536" t="s">
        <v>943</v>
      </c>
      <c r="H73" s="537"/>
      <c r="I73" s="116"/>
      <c r="J73" s="525"/>
      <c r="K73" s="542"/>
      <c r="L73" s="293" t="s">
        <v>579</v>
      </c>
      <c r="M73" s="116"/>
      <c r="N73" s="116"/>
      <c r="O73" s="116"/>
      <c r="R73" s="494" t="str">
        <f>IFERROR(IF(INDEX('_Input Engine'!$W$31:$W$50,MATCH(C9,'_Input Engine'!$A$31:$A$50,0))="","",INDEX('_Input Engine'!$W$31:$W$50,MATCH(C9,'_Input Engine'!$A$31:$A$50,0))),"")</f>
        <v>UNUSED</v>
      </c>
      <c r="S73" s="505"/>
      <c r="T73" s="505"/>
      <c r="U73" s="505"/>
      <c r="V73" s="505"/>
      <c r="W73" s="505"/>
      <c r="X73" s="505"/>
      <c r="Y73" s="505"/>
      <c r="Z73" s="505"/>
      <c r="AA73" s="505"/>
      <c r="AB73" s="505"/>
      <c r="AC73" s="505"/>
      <c r="AD73" s="505"/>
      <c r="AE73" s="505"/>
      <c r="AF73" s="505"/>
      <c r="AG73" s="505"/>
    </row>
    <row r="74" spans="1:33" ht="19.5" customHeight="1">
      <c r="A74" s="116"/>
      <c r="B74" s="528" t="s">
        <v>635</v>
      </c>
      <c r="C74" s="113"/>
      <c r="D74" s="123"/>
      <c r="E74" s="524" t="s">
        <v>605</v>
      </c>
      <c r="F74" s="524" t="s">
        <v>573</v>
      </c>
      <c r="G74" s="524" t="s">
        <v>944</v>
      </c>
      <c r="H74" s="525"/>
      <c r="I74" s="116"/>
      <c r="J74" s="524" t="s">
        <v>573</v>
      </c>
      <c r="K74" s="530" t="str">
        <f>IF(OR('_SB Analysis'!$I$25&lt;&gt;"OK",COUNT($G$16)&lt;&gt;1,$G$16&lt;0),"",ROUND(K72*G19*(G67+G68)/G18,0))</f>
        <v/>
      </c>
      <c r="L74" s="532" t="s">
        <v>916</v>
      </c>
      <c r="M74" s="114"/>
      <c r="N74" s="116"/>
      <c r="O74" s="116"/>
      <c r="R74" s="505"/>
      <c r="S74" s="505"/>
      <c r="T74" s="505"/>
      <c r="U74" s="505"/>
      <c r="V74" s="505"/>
      <c r="W74" s="505"/>
      <c r="X74" s="505"/>
      <c r="Y74" s="505"/>
      <c r="Z74" s="505"/>
      <c r="AA74" s="505"/>
      <c r="AB74" s="505"/>
      <c r="AC74" s="505"/>
      <c r="AD74" s="505"/>
      <c r="AE74" s="505"/>
      <c r="AF74" s="505"/>
      <c r="AG74" s="505"/>
    </row>
    <row r="75" spans="1:33" ht="19.5" customHeight="1">
      <c r="A75" s="116"/>
      <c r="B75" s="529"/>
      <c r="C75" s="113"/>
      <c r="D75" s="123"/>
      <c r="E75" s="525"/>
      <c r="F75" s="525"/>
      <c r="G75" s="536" t="s">
        <v>945</v>
      </c>
      <c r="H75" s="537"/>
      <c r="I75" s="116"/>
      <c r="J75" s="525"/>
      <c r="K75" s="531"/>
      <c r="L75" s="533"/>
      <c r="M75" s="114"/>
      <c r="N75" s="116"/>
      <c r="O75" s="116"/>
      <c r="R75" s="505"/>
      <c r="S75" s="505"/>
      <c r="T75" s="505"/>
      <c r="U75" s="505"/>
      <c r="V75" s="505"/>
      <c r="W75" s="505"/>
      <c r="X75" s="505"/>
      <c r="Y75" s="505"/>
      <c r="Z75" s="505"/>
      <c r="AA75" s="505"/>
      <c r="AB75" s="505"/>
      <c r="AC75" s="505"/>
      <c r="AD75" s="505"/>
      <c r="AE75" s="505"/>
      <c r="AF75" s="505"/>
      <c r="AG75" s="505"/>
    </row>
    <row r="76" spans="1:33" ht="19.5" customHeight="1">
      <c r="A76" s="116"/>
      <c r="B76" s="271" t="s">
        <v>636</v>
      </c>
      <c r="C76" s="116"/>
      <c r="D76" s="116"/>
      <c r="E76" s="306">
        <v>2</v>
      </c>
      <c r="F76" s="271" t="s">
        <v>622</v>
      </c>
      <c r="G76" s="307"/>
      <c r="H76" s="308"/>
      <c r="I76" s="274" t="s">
        <v>932</v>
      </c>
      <c r="J76" s="524" t="s">
        <v>573</v>
      </c>
      <c r="K76" s="543" t="str">
        <f>IF(OR('_SB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25"/>
      <c r="K77" s="542"/>
      <c r="L77" s="293" t="s">
        <v>579</v>
      </c>
      <c r="M77" s="116"/>
      <c r="N77" s="286" t="str">
        <f>IF(OR('_SB Analysis'!$I$25&lt;&gt;"OK",COUNT($G$16)&lt;&gt;1,$G$16&lt;0),"",IF(K72&lt;&gt;0,IF(K76&gt;K72,IF(H76&lt;MIN(G67,G68/2,200),"OKAY","NOT OKAY"),"NOT OKAY"),"OKAY"))</f>
        <v/>
      </c>
      <c r="O77" s="116"/>
      <c r="R77" s="494" t="s">
        <v>782</v>
      </c>
      <c r="S77" s="494"/>
      <c r="T77" s="494"/>
      <c r="U77" s="494"/>
      <c r="V77" s="494"/>
      <c r="W77" s="494"/>
      <c r="X77" s="495" t="s">
        <v>824</v>
      </c>
      <c r="Y77" s="495"/>
      <c r="Z77" s="495"/>
      <c r="AA77" s="495" t="s">
        <v>825</v>
      </c>
      <c r="AB77" s="495"/>
      <c r="AC77" s="495"/>
    </row>
    <row r="78" spans="1:33" ht="19.5" customHeight="1">
      <c r="A78" s="116"/>
      <c r="B78" s="278" t="s">
        <v>637</v>
      </c>
      <c r="C78" s="113"/>
      <c r="D78" s="119"/>
      <c r="E78" s="112"/>
      <c r="F78" s="274" t="s">
        <v>573</v>
      </c>
      <c r="G78" s="271" t="s">
        <v>946</v>
      </c>
      <c r="H78" s="116"/>
      <c r="I78" s="120"/>
      <c r="J78" s="274" t="s">
        <v>573</v>
      </c>
      <c r="K78" s="271" t="str">
        <f>IF(OR('_SB Analysis'!$I$25&lt;&gt;"OK",COUNT($G$16)&lt;&gt;1,$G$16&lt;0),"",G44+G40)</f>
        <v/>
      </c>
      <c r="L78" s="271" t="s">
        <v>362</v>
      </c>
      <c r="M78" s="116"/>
      <c r="N78" s="286" t="str">
        <f>IF(OR('_SB Analysis'!$I$25&lt;&gt;"OK",COUNT($G$16)&lt;&gt;1,$G$16&lt;0),"",IF(K74&gt;K78,"NOT OKAY","OKAY"))</f>
        <v/>
      </c>
      <c r="O78" s="116"/>
      <c r="R78" s="494"/>
      <c r="S78" s="494"/>
      <c r="T78" s="494"/>
      <c r="U78" s="494"/>
      <c r="V78" s="494"/>
      <c r="W78" s="494"/>
      <c r="X78" s="496"/>
      <c r="Y78" s="496"/>
      <c r="Z78" s="496"/>
      <c r="AA78" s="496"/>
      <c r="AB78" s="496"/>
      <c r="AC78" s="496"/>
    </row>
    <row r="79" spans="1:33" ht="7.95" customHeight="1">
      <c r="A79" s="116"/>
      <c r="B79" s="116"/>
      <c r="C79" s="113"/>
      <c r="D79" s="119"/>
      <c r="E79" s="116"/>
      <c r="F79" s="116"/>
      <c r="G79" s="116"/>
      <c r="H79" s="116"/>
      <c r="I79" s="116"/>
      <c r="J79" s="116"/>
      <c r="K79" s="112"/>
      <c r="L79" s="119"/>
      <c r="M79" s="119"/>
      <c r="N79" s="116"/>
      <c r="O79" s="113"/>
      <c r="R79" s="494" t="s">
        <v>830</v>
      </c>
      <c r="S79" s="494"/>
      <c r="T79" s="494"/>
      <c r="U79" s="494"/>
      <c r="V79" s="494"/>
      <c r="W79" s="494"/>
      <c r="X79" s="498" t="str">
        <f>IFERROR(IF(INDEX('_Input Engine'!$U$31:$U$50,MATCH(C9,'_Input Engine'!$A$31:$A$50,0))="","",INDEX('_Input Engine'!$U$31:$U$50,MATCH(C9,'_Input Engine'!$A$31:$A$50,0))),"")</f>
        <v/>
      </c>
      <c r="Y79" s="499"/>
      <c r="Z79" s="499"/>
      <c r="AA79" s="498" t="str">
        <f>IFERROR(IF(INDEX('_Input Engine'!$V$31:$V$50,MATCH(C9,'_Input Engine'!$A$31:$A$50,0))="","",INDEX('_Input Engine'!$V$31:$V$50,MATCH(C9,'_Input Engine'!$A$31:$A$50,0))),"")</f>
        <v/>
      </c>
      <c r="AB79" s="499"/>
      <c r="AC79" s="499"/>
    </row>
    <row r="80" spans="1:33" ht="25.05" customHeight="1">
      <c r="A80" s="116"/>
      <c r="B80" s="146" t="s">
        <v>953</v>
      </c>
      <c r="C80" s="146"/>
      <c r="D80" s="141"/>
      <c r="E80" s="141"/>
      <c r="F80" s="141"/>
      <c r="G80" s="141"/>
      <c r="H80" s="141"/>
      <c r="I80" s="141"/>
      <c r="J80" s="141"/>
      <c r="K80" s="141"/>
      <c r="L80" s="141"/>
      <c r="M80" s="141"/>
      <c r="N80" s="141"/>
      <c r="O80" s="141"/>
      <c r="R80" s="494"/>
      <c r="S80" s="494"/>
      <c r="T80" s="494"/>
      <c r="U80" s="494"/>
      <c r="V80" s="494"/>
      <c r="W80" s="494"/>
      <c r="X80" s="500"/>
      <c r="Y80" s="500"/>
      <c r="Z80" s="500"/>
      <c r="AA80" s="500"/>
      <c r="AB80" s="500"/>
      <c r="AC80" s="500"/>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IF(OR('_SB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8" t="s">
        <v>639</v>
      </c>
      <c r="C83" s="539"/>
      <c r="D83" s="539"/>
      <c r="E83" s="539"/>
      <c r="F83" s="274" t="s">
        <v>573</v>
      </c>
      <c r="G83" s="299" t="str">
        <f>IF(OR('_SB Analysis'!$I$25&lt;&gt;"OK",COUNT($G$16)&lt;&gt;1,$G$16&lt;0),"",ROUND(MIN(2,0.55+(477-G82)/(120*(0.9+G23*10^6/(G14*G29^2)))),2))</f>
        <v/>
      </c>
      <c r="H83" s="115"/>
      <c r="I83" s="116"/>
      <c r="J83" s="116"/>
      <c r="K83" s="116"/>
      <c r="L83" s="116"/>
      <c r="M83" s="116"/>
      <c r="N83" s="280" t="s">
        <v>638</v>
      </c>
      <c r="O83" s="116"/>
      <c r="R83" s="98"/>
    </row>
    <row r="84" spans="1:33" ht="19.5" customHeight="1">
      <c r="A84" s="116"/>
      <c r="B84" s="550" t="s">
        <v>640</v>
      </c>
      <c r="C84" s="551"/>
      <c r="D84" s="551"/>
      <c r="E84" s="551"/>
      <c r="F84" s="274" t="s">
        <v>573</v>
      </c>
      <c r="G84" s="271" t="str">
        <f>IF(OR('_SB Analysis'!$I$25&lt;&gt;"OK",COUNT($G$16)&lt;&gt;1,$G$16&lt;0),"",ROUND(MIN(1.5,1+(100*G40/(G14*G29))/(3+100*G40/(G14*G29))),2))</f>
        <v/>
      </c>
      <c r="H84" s="116"/>
      <c r="I84" s="116"/>
      <c r="J84" s="116"/>
      <c r="K84" s="116"/>
      <c r="L84" s="116"/>
      <c r="M84" s="116"/>
      <c r="N84" s="280" t="s">
        <v>641</v>
      </c>
      <c r="O84" s="116"/>
      <c r="R84" s="494" t="s">
        <v>832</v>
      </c>
      <c r="S84" s="494"/>
      <c r="T84" s="494"/>
      <c r="U84" s="494"/>
      <c r="V84" s="494"/>
      <c r="W84" s="494"/>
      <c r="X84" s="494"/>
      <c r="Y84" s="494"/>
      <c r="Z84" s="494"/>
      <c r="AA84" s="494"/>
      <c r="AB84" s="494"/>
      <c r="AC84" s="494"/>
      <c r="AD84" s="494"/>
      <c r="AE84" s="494"/>
      <c r="AF84" s="494"/>
      <c r="AG84" s="494"/>
    </row>
    <row r="85" spans="1:33" ht="19.5" customHeight="1">
      <c r="A85" s="116"/>
      <c r="B85" s="278" t="s">
        <v>642</v>
      </c>
      <c r="C85" s="120"/>
      <c r="D85" s="120"/>
      <c r="E85" s="116"/>
      <c r="F85" s="274" t="s">
        <v>573</v>
      </c>
      <c r="G85" s="271">
        <f>IF(T13="Simply-supported",20,IF(T13="End span",23,IF(T13="Continuous",26,"")))</f>
        <v>20</v>
      </c>
      <c r="H85" s="116"/>
      <c r="I85" s="116"/>
      <c r="J85" s="116"/>
      <c r="K85" s="116"/>
      <c r="L85" s="116"/>
      <c r="M85" s="116"/>
      <c r="N85" s="545" t="str">
        <f>IF(OR('_SB Analysis'!$I$25&lt;&gt;"OK",COUNT($G$16)&lt;&gt;1,$G$16&lt;0),"","Linked: "&amp;'_SB Analysis'!E7)</f>
        <v/>
      </c>
      <c r="O85" s="546"/>
      <c r="R85" s="494"/>
      <c r="S85" s="494"/>
      <c r="T85" s="494"/>
      <c r="U85" s="494"/>
      <c r="V85" s="494"/>
      <c r="W85" s="494"/>
      <c r="X85" s="494"/>
      <c r="Y85" s="494"/>
      <c r="Z85" s="494"/>
      <c r="AA85" s="494"/>
      <c r="AB85" s="494"/>
      <c r="AC85" s="494"/>
      <c r="AD85" s="494"/>
      <c r="AE85" s="494"/>
      <c r="AF85" s="494"/>
      <c r="AG85" s="494"/>
    </row>
    <row r="86" spans="1:33" ht="19.5" customHeight="1">
      <c r="A86" s="116"/>
      <c r="B86" s="278" t="s">
        <v>643</v>
      </c>
      <c r="C86" s="120"/>
      <c r="D86" s="120"/>
      <c r="E86" s="116"/>
      <c r="F86" s="274" t="s">
        <v>573</v>
      </c>
      <c r="G86" s="300" t="str">
        <f>IF(OR('_SB Analysis'!$I$25&lt;&gt;"OK",COUNT($G$16)&lt;&gt;1,$G$16&lt;0),"",IF(G44=0,0,G85*G84*G83*MIN(1,10/G12)))</f>
        <v/>
      </c>
      <c r="H86" s="116"/>
      <c r="I86" s="126"/>
      <c r="J86" s="120"/>
      <c r="K86" s="116"/>
      <c r="L86" s="116"/>
      <c r="M86" s="116"/>
      <c r="N86" s="116"/>
      <c r="O86" s="116"/>
      <c r="R86" s="494"/>
      <c r="S86" s="494"/>
      <c r="T86" s="494"/>
      <c r="U86" s="494"/>
      <c r="V86" s="494"/>
      <c r="W86" s="494"/>
      <c r="X86" s="494"/>
      <c r="Y86" s="494"/>
      <c r="Z86" s="494"/>
      <c r="AA86" s="494"/>
      <c r="AB86" s="494"/>
      <c r="AC86" s="494"/>
      <c r="AD86" s="494"/>
      <c r="AE86" s="494"/>
      <c r="AF86" s="494"/>
      <c r="AG86" s="494"/>
    </row>
    <row r="87" spans="1:33" ht="19.5" customHeight="1">
      <c r="A87" s="116"/>
      <c r="B87" s="271" t="s">
        <v>644</v>
      </c>
      <c r="C87" s="116"/>
      <c r="D87" s="116"/>
      <c r="E87" s="271" t="s">
        <v>645</v>
      </c>
      <c r="F87" s="274" t="s">
        <v>573</v>
      </c>
      <c r="G87" s="271" t="str">
        <f>IF(OR('_SB Analysis'!$I$25&lt;&gt;"OK",COUNT($G$16)&lt;&gt;1,$G$16&lt;0),"",ROUND(G12*1000/G29,2))</f>
        <v/>
      </c>
      <c r="H87" s="116"/>
      <c r="I87" s="116"/>
      <c r="J87" s="274" t="str">
        <f>IF(OR('_SB Analysis'!$I$25&lt;&gt;"OK",COUNT($G$16)&lt;&gt;1,$G$16&lt;0),"",IF(G87&gt;G86,"&gt;","&lt;"))</f>
        <v/>
      </c>
      <c r="K87" s="547" t="str">
        <f>IF(OR('_SB Analysis'!$I$25&lt;&gt;"OK",COUNT($G$16)&lt;&gt;1,$G$16&lt;0),"",G86)</f>
        <v/>
      </c>
      <c r="L87" s="548"/>
      <c r="M87" s="127"/>
      <c r="N87" s="286" t="str">
        <f>IF(OR('_SB Analysis'!$I$25&lt;&gt;"OK",COUNT($G$16)&lt;&gt;1,$G$16&lt;0),"",IF(G86&lt;G87,"NOT OKAY","OKAY"))</f>
        <v/>
      </c>
      <c r="O87" s="132"/>
      <c r="R87" s="494"/>
      <c r="S87" s="494"/>
      <c r="T87" s="494"/>
      <c r="U87" s="494"/>
      <c r="V87" s="494"/>
      <c r="W87" s="494"/>
      <c r="X87" s="494"/>
      <c r="Y87" s="494"/>
      <c r="Z87" s="494"/>
      <c r="AA87" s="494"/>
      <c r="AB87" s="494"/>
      <c r="AC87" s="494"/>
      <c r="AD87" s="494"/>
      <c r="AE87" s="494"/>
      <c r="AF87" s="494"/>
      <c r="AG87" s="494"/>
    </row>
    <row r="88" spans="1:33" ht="7.95" customHeight="1">
      <c r="A88" s="116"/>
      <c r="B88" s="116"/>
      <c r="C88" s="116"/>
      <c r="D88" s="116"/>
      <c r="E88" s="116"/>
      <c r="F88" s="116"/>
      <c r="G88" s="116"/>
      <c r="H88" s="116"/>
      <c r="I88" s="116"/>
      <c r="J88" s="116"/>
      <c r="K88" s="116"/>
      <c r="L88" s="116"/>
      <c r="M88" s="116"/>
      <c r="N88" s="538" t="str">
        <f>IF(OR('_SB Analysis'!$I$25&lt;&gt;"OK",COUNT($G$16)&lt;&gt;1,$G$16&lt;0),"",IF(K87&gt;G87,"","Reduce L/d ratio"))</f>
        <v/>
      </c>
      <c r="O88" s="539"/>
      <c r="R88" s="98"/>
    </row>
    <row r="89" spans="1:33" ht="6" customHeight="1">
      <c r="A89" s="116"/>
      <c r="B89" s="128"/>
      <c r="C89" s="128"/>
      <c r="D89" s="128"/>
      <c r="E89" s="116"/>
      <c r="F89" s="116"/>
      <c r="G89" s="116"/>
      <c r="H89" s="116"/>
      <c r="I89" s="116"/>
      <c r="J89" s="116"/>
      <c r="K89" s="116"/>
      <c r="L89" s="116"/>
      <c r="M89" s="116"/>
      <c r="N89" s="116"/>
      <c r="O89" s="116"/>
      <c r="R89" s="495" t="s">
        <v>889</v>
      </c>
      <c r="S89" s="495"/>
      <c r="T89" s="495"/>
      <c r="U89" s="495"/>
      <c r="V89" s="495"/>
      <c r="W89" s="495"/>
      <c r="X89" s="495"/>
      <c r="Y89" s="495"/>
      <c r="Z89" s="495"/>
      <c r="AA89" s="495"/>
      <c r="AB89" s="495"/>
      <c r="AC89" s="495"/>
      <c r="AD89" s="495"/>
      <c r="AE89" s="495"/>
      <c r="AF89" s="495"/>
      <c r="AG89" s="495"/>
    </row>
    <row r="90" spans="1:33" ht="6" customHeight="1">
      <c r="A90" s="116"/>
      <c r="B90" s="116"/>
      <c r="C90" s="116"/>
      <c r="D90" s="116"/>
      <c r="E90" s="116"/>
      <c r="F90" s="116"/>
      <c r="G90" s="116"/>
      <c r="H90" s="116"/>
      <c r="I90" s="116"/>
      <c r="J90" s="116"/>
      <c r="K90" s="116"/>
      <c r="L90" s="116"/>
      <c r="M90" s="116"/>
      <c r="N90" s="116"/>
      <c r="O90" s="116"/>
      <c r="R90" s="496"/>
      <c r="S90" s="496"/>
      <c r="T90" s="496"/>
      <c r="U90" s="496"/>
      <c r="V90" s="496"/>
      <c r="W90" s="496"/>
      <c r="X90" s="496"/>
      <c r="Y90" s="496"/>
      <c r="Z90" s="496"/>
      <c r="AA90" s="496"/>
      <c r="AB90" s="496"/>
      <c r="AC90" s="496"/>
      <c r="AD90" s="496"/>
      <c r="AE90" s="496"/>
      <c r="AF90" s="496"/>
      <c r="AG90" s="496"/>
    </row>
    <row r="91" spans="1:33" ht="6" customHeight="1">
      <c r="A91" s="116"/>
      <c r="B91" s="120"/>
      <c r="C91" s="120"/>
      <c r="D91" s="120"/>
      <c r="E91" s="116"/>
      <c r="F91" s="116"/>
      <c r="G91" s="116"/>
      <c r="H91" s="116"/>
      <c r="I91" s="129"/>
      <c r="J91" s="116"/>
      <c r="K91" s="116"/>
      <c r="L91" s="116"/>
      <c r="M91" s="116"/>
      <c r="N91" s="116"/>
      <c r="O91" s="116"/>
      <c r="R91" s="501"/>
      <c r="S91" s="501"/>
      <c r="T91" s="501"/>
      <c r="U91" s="501"/>
      <c r="V91" s="501"/>
      <c r="W91" s="501"/>
      <c r="X91" s="501"/>
      <c r="Y91" s="501"/>
      <c r="Z91" s="501"/>
      <c r="AA91" s="501"/>
      <c r="AB91" s="501"/>
      <c r="AC91" s="501"/>
      <c r="AD91" s="501"/>
      <c r="AE91" s="501"/>
      <c r="AF91" s="501"/>
      <c r="AG91" s="501"/>
    </row>
    <row r="92" spans="1:33" ht="6" customHeight="1">
      <c r="A92" s="116"/>
      <c r="B92" s="116"/>
      <c r="C92" s="116"/>
      <c r="D92" s="116"/>
      <c r="E92" s="116"/>
      <c r="F92" s="116"/>
      <c r="G92" s="116"/>
      <c r="H92" s="116"/>
      <c r="I92" s="116"/>
      <c r="J92" s="116"/>
      <c r="K92" s="116"/>
      <c r="L92" s="116"/>
      <c r="M92" s="116"/>
      <c r="N92" s="116"/>
      <c r="O92" s="116"/>
      <c r="R92" s="502"/>
      <c r="S92" s="502"/>
      <c r="T92" s="502"/>
      <c r="U92" s="502"/>
      <c r="V92" s="502"/>
      <c r="W92" s="502"/>
      <c r="X92" s="502"/>
      <c r="Y92" s="502"/>
      <c r="Z92" s="502"/>
      <c r="AA92" s="502"/>
      <c r="AB92" s="502"/>
      <c r="AC92" s="502"/>
      <c r="AD92" s="502"/>
      <c r="AE92" s="502"/>
      <c r="AF92" s="502"/>
      <c r="AG92" s="50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9" t="s">
        <v>651</v>
      </c>
      <c r="B104" s="521"/>
      <c r="C104" s="521"/>
      <c r="D104" s="521"/>
      <c r="E104" s="521"/>
      <c r="F104" s="521"/>
      <c r="G104" s="521"/>
      <c r="H104" s="521"/>
      <c r="I104" s="521"/>
      <c r="J104" s="521"/>
      <c r="K104" s="521"/>
      <c r="L104" s="521"/>
      <c r="M104" s="521"/>
      <c r="N104" s="521"/>
      <c r="O104" s="521"/>
      <c r="R104" s="98"/>
    </row>
    <row r="105" spans="1:18" ht="19.5" customHeight="1" outlineLevel="1">
      <c r="A105" s="116"/>
      <c r="B105" s="553" t="s">
        <v>1008</v>
      </c>
      <c r="C105" s="539"/>
      <c r="D105" s="539"/>
      <c r="E105" s="539"/>
      <c r="F105" s="539"/>
      <c r="G105" s="539"/>
      <c r="H105" s="539"/>
      <c r="I105" s="539"/>
      <c r="J105" s="539"/>
      <c r="K105" s="539"/>
      <c r="L105" s="539"/>
      <c r="M105" s="539"/>
      <c r="N105" s="539"/>
      <c r="O105" s="539"/>
      <c r="R105" s="98"/>
    </row>
    <row r="106" spans="1:18" ht="19.5" customHeight="1" outlineLevel="1">
      <c r="A106" s="287" t="s">
        <v>1088</v>
      </c>
      <c r="B106" s="539"/>
      <c r="C106" s="539"/>
      <c r="D106" s="539"/>
      <c r="E106" s="539"/>
      <c r="F106" s="539"/>
      <c r="G106" s="539"/>
      <c r="H106" s="539"/>
      <c r="I106" s="539"/>
      <c r="J106" s="539"/>
      <c r="K106" s="539"/>
      <c r="L106" s="539"/>
      <c r="M106" s="539"/>
      <c r="N106" s="539"/>
      <c r="O106" s="539"/>
      <c r="R106" s="98"/>
    </row>
    <row r="107" spans="1:18" ht="19.5" customHeight="1" outlineLevel="1">
      <c r="A107" s="287" t="s">
        <v>652</v>
      </c>
      <c r="B107" s="539"/>
      <c r="C107" s="539"/>
      <c r="D107" s="539"/>
      <c r="E107" s="539"/>
      <c r="F107" s="539"/>
      <c r="G107" s="539"/>
      <c r="H107" s="539"/>
      <c r="I107" s="539"/>
      <c r="J107" s="539"/>
      <c r="K107" s="539"/>
      <c r="L107" s="539"/>
      <c r="M107" s="539"/>
      <c r="N107" s="539"/>
      <c r="O107" s="539"/>
      <c r="R107" s="98"/>
    </row>
    <row r="108" spans="1:18" ht="19.5" customHeight="1" outlineLevel="1">
      <c r="A108" s="116"/>
      <c r="B108" s="539"/>
      <c r="C108" s="539"/>
      <c r="D108" s="539"/>
      <c r="E108" s="539"/>
      <c r="F108" s="539"/>
      <c r="G108" s="539"/>
      <c r="H108" s="539"/>
      <c r="I108" s="539"/>
      <c r="J108" s="539"/>
      <c r="K108" s="539"/>
      <c r="L108" s="539"/>
      <c r="M108" s="539"/>
      <c r="N108" s="539"/>
      <c r="O108" s="539"/>
      <c r="R108" s="98"/>
    </row>
    <row r="109" spans="1:18" ht="19.5" customHeight="1" outlineLevel="1">
      <c r="A109" s="557" t="s">
        <v>653</v>
      </c>
      <c r="B109" s="558"/>
      <c r="C109" s="301" t="s">
        <v>654</v>
      </c>
      <c r="D109" s="301" t="s">
        <v>655</v>
      </c>
      <c r="E109" s="557" t="s">
        <v>656</v>
      </c>
      <c r="F109" s="558"/>
      <c r="G109" s="558"/>
      <c r="H109" s="558"/>
      <c r="I109" s="116"/>
      <c r="J109" s="116"/>
      <c r="K109" s="116"/>
      <c r="L109" s="116"/>
      <c r="M109" s="116"/>
      <c r="N109" s="116"/>
      <c r="O109" s="116"/>
      <c r="R109" s="98"/>
    </row>
    <row r="110" spans="1:18" ht="19.5" customHeight="1" outlineLevel="1">
      <c r="A110" s="527" t="s">
        <v>657</v>
      </c>
      <c r="B110" s="526"/>
      <c r="C110" s="304">
        <v>11</v>
      </c>
      <c r="D110" s="305">
        <v>40</v>
      </c>
      <c r="E110" s="544" t="str">
        <f>IF(OR('_SB Analysis'!$I$25&lt;&gt;"OK",COUNT($G$16)&lt;&gt;1,$G$16&lt;0),"",IF('_SB Helpers'!P110="","",'_SB Helpers'!P110))</f>
        <v/>
      </c>
      <c r="F110" s="526"/>
      <c r="G110" s="526"/>
      <c r="H110" s="526"/>
      <c r="I110" s="116"/>
      <c r="J110" s="116"/>
      <c r="K110" s="116"/>
      <c r="L110" s="116"/>
      <c r="M110" s="116"/>
      <c r="N110" s="116"/>
      <c r="O110" s="116"/>
      <c r="R110" s="98"/>
    </row>
    <row r="111" spans="1:18" ht="19.5" customHeight="1" outlineLevel="1">
      <c r="A111" s="527" t="s">
        <v>658</v>
      </c>
      <c r="B111" s="526"/>
      <c r="C111" s="304">
        <v>11</v>
      </c>
      <c r="D111" s="305">
        <v>40</v>
      </c>
      <c r="E111" s="544" t="str">
        <f>IF(OR('_SB Analysis'!$I$25&lt;&gt;"OK",COUNT($G$16)&lt;&gt;1,$G$16&lt;0),"",IF('_SB Helpers'!P111="","",'_SB Helpers'!P111))</f>
        <v/>
      </c>
      <c r="F111" s="526"/>
      <c r="G111" s="526"/>
      <c r="H111" s="526"/>
      <c r="I111" s="116"/>
      <c r="J111" s="116"/>
      <c r="K111" s="116"/>
      <c r="L111" s="116"/>
      <c r="M111" s="116"/>
      <c r="N111" s="116"/>
      <c r="O111" s="116"/>
      <c r="R111" s="98"/>
    </row>
    <row r="112" spans="1:18" ht="19.5" customHeight="1" outlineLevel="1">
      <c r="A112" s="527" t="s">
        <v>659</v>
      </c>
      <c r="B112" s="526"/>
      <c r="C112" s="304">
        <v>11</v>
      </c>
      <c r="D112" s="305">
        <v>40</v>
      </c>
      <c r="E112" s="544" t="str">
        <f>IF(OR('_SB Analysis'!$I$25&lt;&gt;"OK",COUNT($G$16)&lt;&gt;1,$G$16&lt;0),"",IF('_SB Helpers'!P112="","",'_SB Helpers'!P112))</f>
        <v/>
      </c>
      <c r="F112" s="526"/>
      <c r="G112" s="526"/>
      <c r="H112" s="526"/>
      <c r="I112" s="116"/>
      <c r="J112" s="116"/>
      <c r="K112" s="116"/>
      <c r="L112" s="116"/>
      <c r="M112" s="116"/>
      <c r="N112" s="116"/>
      <c r="O112" s="116"/>
      <c r="R112" s="98"/>
    </row>
    <row r="113" spans="1:33" ht="19.5" customHeight="1" outlineLevel="1">
      <c r="A113" s="527" t="s">
        <v>660</v>
      </c>
      <c r="B113" s="526"/>
      <c r="C113" s="304">
        <v>2</v>
      </c>
      <c r="D113" s="305">
        <v>40</v>
      </c>
      <c r="E113" s="544" t="str">
        <f>IF(OR('_SB Analysis'!$I$25&lt;&gt;"OK",COUNT($G$16)&lt;&gt;1,$G$16&lt;0),"",IF('_SB Helpers'!P113="","",'_SB Helpers'!P113))</f>
        <v/>
      </c>
      <c r="F113" s="526"/>
      <c r="G113" s="526"/>
      <c r="H113" s="526"/>
      <c r="I113" s="116"/>
      <c r="J113" s="116"/>
      <c r="K113" s="116"/>
      <c r="L113" s="116"/>
      <c r="M113" s="116"/>
      <c r="N113" s="116"/>
      <c r="O113" s="116"/>
      <c r="R113" s="98"/>
    </row>
    <row r="114" spans="1:33" ht="19.5" customHeight="1" outlineLevel="1">
      <c r="A114" s="527" t="s">
        <v>661</v>
      </c>
      <c r="B114" s="526"/>
      <c r="C114" s="304">
        <v>11</v>
      </c>
      <c r="D114" s="305">
        <v>40</v>
      </c>
      <c r="E114" s="544" t="str">
        <f>IF(OR('_SB Analysis'!$I$25&lt;&gt;"OK",COUNT($G$16)&lt;&gt;1,$G$16&lt;0),"",IF('_SB Helpers'!P114="","",'_SB Helpers'!P114))</f>
        <v/>
      </c>
      <c r="F114" s="526"/>
      <c r="G114" s="526"/>
      <c r="H114" s="526"/>
      <c r="I114" s="116"/>
      <c r="J114" s="116"/>
      <c r="K114" s="116"/>
      <c r="L114" s="116"/>
      <c r="M114" s="116"/>
      <c r="N114" s="116"/>
      <c r="O114" s="116"/>
      <c r="R114" s="494" t="s">
        <v>826</v>
      </c>
      <c r="S114" s="494"/>
      <c r="T114" s="494"/>
      <c r="U114" s="494"/>
      <c r="V114" s="494"/>
      <c r="W114" s="494"/>
      <c r="X114" s="494"/>
      <c r="Y114" s="494"/>
      <c r="Z114" s="494"/>
      <c r="AA114" s="494"/>
      <c r="AB114" s="494"/>
      <c r="AC114" s="494"/>
      <c r="AD114" s="494"/>
      <c r="AE114" s="494"/>
      <c r="AF114" s="494"/>
      <c r="AG114" s="494"/>
    </row>
    <row r="115" spans="1:33" ht="19.5" customHeight="1" outlineLevel="1">
      <c r="A115" s="527" t="s">
        <v>662</v>
      </c>
      <c r="B115" s="526"/>
      <c r="C115" s="304">
        <v>11</v>
      </c>
      <c r="D115" s="305">
        <v>40</v>
      </c>
      <c r="E115" s="544" t="str">
        <f>IF(OR('_SB Analysis'!$I$25&lt;&gt;"OK",COUNT($G$16)&lt;&gt;1,$G$16&lt;0),"",IF('_SB Helpers'!P115="","",'_SB Helpers'!P115))</f>
        <v/>
      </c>
      <c r="F115" s="526"/>
      <c r="G115" s="526"/>
      <c r="H115" s="526"/>
      <c r="I115" s="116"/>
      <c r="J115" s="116"/>
      <c r="K115" s="116"/>
      <c r="L115" s="116"/>
      <c r="M115" s="116"/>
      <c r="N115" s="116"/>
      <c r="O115" s="116"/>
      <c r="R115" s="494"/>
      <c r="S115" s="494"/>
      <c r="T115" s="494"/>
      <c r="U115" s="494"/>
      <c r="V115" s="494"/>
      <c r="W115" s="494"/>
      <c r="X115" s="494"/>
      <c r="Y115" s="494"/>
      <c r="Z115" s="494"/>
      <c r="AA115" s="494"/>
      <c r="AB115" s="494"/>
      <c r="AC115" s="494"/>
      <c r="AD115" s="494"/>
      <c r="AE115" s="494"/>
      <c r="AF115" s="494"/>
      <c r="AG115" s="494"/>
    </row>
    <row r="116" spans="1:33" ht="19.5" customHeight="1" outlineLevel="1">
      <c r="A116" s="527" t="s">
        <v>663</v>
      </c>
      <c r="B116" s="526"/>
      <c r="C116" s="304">
        <v>11</v>
      </c>
      <c r="D116" s="305">
        <v>40</v>
      </c>
      <c r="E116" s="544" t="str">
        <f>IF(OR('_SB Analysis'!$I$25&lt;&gt;"OK",COUNT($G$16)&lt;&gt;1,$G$16&lt;0),"",IF('_SB Helpers'!P116="","",'_SB Helpers'!P116))</f>
        <v/>
      </c>
      <c r="F116" s="526"/>
      <c r="G116" s="526"/>
      <c r="H116" s="526"/>
      <c r="I116" s="116"/>
      <c r="J116" s="116"/>
      <c r="K116" s="116"/>
      <c r="L116" s="116"/>
      <c r="M116" s="116"/>
      <c r="N116" s="116"/>
      <c r="O116" s="116"/>
      <c r="R116" s="494"/>
      <c r="S116" s="494"/>
      <c r="T116" s="494"/>
      <c r="U116" s="494"/>
      <c r="V116" s="494"/>
      <c r="W116" s="494"/>
      <c r="X116" s="494"/>
      <c r="Y116" s="494"/>
      <c r="Z116" s="494"/>
      <c r="AA116" s="494"/>
      <c r="AB116" s="494"/>
      <c r="AC116" s="494"/>
      <c r="AD116" s="494"/>
      <c r="AE116" s="494"/>
      <c r="AF116" s="494"/>
      <c r="AG116" s="494"/>
    </row>
    <row r="117" spans="1:33" ht="19.5" customHeight="1" outlineLevel="1">
      <c r="A117" s="527" t="s">
        <v>664</v>
      </c>
      <c r="B117" s="526"/>
      <c r="C117" s="304">
        <v>2</v>
      </c>
      <c r="D117" s="305">
        <v>40</v>
      </c>
      <c r="E117" s="544" t="str">
        <f>IF(OR('_SB Analysis'!$I$25&lt;&gt;"OK",COUNT($G$16)&lt;&gt;1,$G$16&lt;0),"",IF('_SB Helpers'!P117="","",'_SB Helpers'!P117))</f>
        <v/>
      </c>
      <c r="F117" s="526"/>
      <c r="G117" s="526"/>
      <c r="H117" s="526"/>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7" t="s">
        <v>831</v>
      </c>
      <c r="S118" s="494"/>
      <c r="T118" s="494"/>
      <c r="U118" s="494"/>
      <c r="V118" s="494"/>
      <c r="W118" s="494"/>
      <c r="X118" s="494"/>
      <c r="Y118" s="494"/>
      <c r="Z118" s="494"/>
      <c r="AA118" s="494"/>
      <c r="AB118" s="494"/>
      <c r="AC118" s="494"/>
      <c r="AD118" s="494"/>
      <c r="AE118" s="494"/>
      <c r="AF118" s="494"/>
      <c r="AG118" s="494"/>
    </row>
    <row r="119" spans="1:33" ht="19.5" customHeight="1">
      <c r="A119" s="527" t="str">
        <f>IF(OR('_SB Analysis'!$I$25&lt;&gt;"OK",COUNT($G$16)&lt;&gt;1,$G$16&lt;0),"",IF(SBBeamGroupsFit($C$40:$D$47,$C$110:$D$117,$G$14:$G$16,$G$58),"Steel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c r="R119" s="494"/>
      <c r="S119" s="494"/>
      <c r="T119" s="494"/>
      <c r="U119" s="494"/>
      <c r="V119" s="494"/>
      <c r="W119" s="494"/>
      <c r="X119" s="494"/>
      <c r="Y119" s="494"/>
      <c r="Z119" s="494"/>
      <c r="AA119" s="494"/>
      <c r="AB119" s="494"/>
      <c r="AC119" s="494"/>
      <c r="AD119" s="494"/>
      <c r="AE119" s="494"/>
      <c r="AF119" s="494"/>
      <c r="AG119" s="494"/>
    </row>
    <row r="120" spans="1:33" ht="19.5" hidden="1" customHeight="1">
      <c r="A120" s="116"/>
      <c r="B120" s="556"/>
      <c r="C120" s="556"/>
      <c r="D120" s="556"/>
      <c r="E120" s="556"/>
      <c r="F120" s="556"/>
      <c r="G120" s="556"/>
      <c r="H120" s="556"/>
      <c r="I120" s="556"/>
      <c r="J120" s="556"/>
      <c r="K120" s="556"/>
      <c r="L120" s="556"/>
      <c r="M120" s="556"/>
      <c r="N120" s="556"/>
      <c r="O120" s="116"/>
      <c r="R120" s="494"/>
      <c r="S120" s="494"/>
      <c r="T120" s="494"/>
      <c r="U120" s="494"/>
      <c r="V120" s="494"/>
      <c r="W120" s="494"/>
      <c r="X120" s="494"/>
      <c r="Y120" s="494"/>
      <c r="Z120" s="494"/>
      <c r="AA120" s="494"/>
      <c r="AB120" s="494"/>
      <c r="AC120" s="494"/>
      <c r="AD120" s="494"/>
      <c r="AE120" s="494"/>
      <c r="AF120" s="494"/>
      <c r="AG120" s="494"/>
    </row>
    <row r="121" spans="1:33" ht="19.5" hidden="1" customHeight="1">
      <c r="A121" s="116"/>
      <c r="B121" s="539"/>
      <c r="C121" s="539"/>
      <c r="D121" s="539"/>
      <c r="E121" s="539"/>
      <c r="F121" s="539"/>
      <c r="G121" s="539"/>
      <c r="H121" s="539"/>
      <c r="I121" s="539"/>
      <c r="J121" s="539"/>
      <c r="K121" s="539"/>
      <c r="L121" s="539"/>
      <c r="M121" s="539"/>
      <c r="N121" s="539"/>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A104:O104"/>
    <mergeCell ref="J76:J77"/>
    <mergeCell ref="K76:K77"/>
    <mergeCell ref="B83:E83"/>
    <mergeCell ref="B84:E84"/>
    <mergeCell ref="B74:B75"/>
    <mergeCell ref="E74:E75"/>
    <mergeCell ref="F74:F75"/>
    <mergeCell ref="G74:H74"/>
    <mergeCell ref="J74:J75"/>
    <mergeCell ref="K74:K75"/>
    <mergeCell ref="N65:N66"/>
    <mergeCell ref="B72:B73"/>
    <mergeCell ref="F72:F73"/>
    <mergeCell ref="G72:H72"/>
    <mergeCell ref="J72:J73"/>
    <mergeCell ref="K72:K73"/>
    <mergeCell ref="G73:H73"/>
    <mergeCell ref="L74:L75"/>
    <mergeCell ref="G75:H75"/>
    <mergeCell ref="J58:J59"/>
    <mergeCell ref="K58:K59"/>
    <mergeCell ref="E63:E64"/>
    <mergeCell ref="F63:F64"/>
    <mergeCell ref="G63:I63"/>
    <mergeCell ref="J63:J64"/>
    <mergeCell ref="K63:K64"/>
    <mergeCell ref="N45:O45"/>
    <mergeCell ref="L63:L64"/>
    <mergeCell ref="N63:N64"/>
    <mergeCell ref="G64:I64"/>
    <mergeCell ref="B56:B57"/>
    <mergeCell ref="C56:C57"/>
    <mergeCell ref="D56:D57"/>
    <mergeCell ref="F56:F57"/>
    <mergeCell ref="G56:H56"/>
    <mergeCell ref="J56:J57"/>
    <mergeCell ref="K56:K57"/>
    <mergeCell ref="K38:K39"/>
    <mergeCell ref="L38:L39"/>
    <mergeCell ref="G57:H57"/>
    <mergeCell ref="N38:N39"/>
    <mergeCell ref="G39:H39"/>
    <mergeCell ref="R40:V41"/>
    <mergeCell ref="N41:O41"/>
    <mergeCell ref="B38:B39"/>
    <mergeCell ref="E38:E39"/>
    <mergeCell ref="F38:F39"/>
    <mergeCell ref="G38:H38"/>
    <mergeCell ref="I38:I39"/>
    <mergeCell ref="J38:J39"/>
    <mergeCell ref="B36:B37"/>
    <mergeCell ref="E36:E37"/>
    <mergeCell ref="F36:F37"/>
    <mergeCell ref="G36:H36"/>
    <mergeCell ref="J36:J37"/>
    <mergeCell ref="K36:K37"/>
    <mergeCell ref="L36:L37"/>
    <mergeCell ref="N36:N37"/>
    <mergeCell ref="G37:H37"/>
    <mergeCell ref="C9:N9"/>
    <mergeCell ref="B11:N11"/>
    <mergeCell ref="T13:V13"/>
    <mergeCell ref="R16:S16"/>
    <mergeCell ref="T16:U16"/>
    <mergeCell ref="G25:I25"/>
    <mergeCell ref="B26:D26"/>
    <mergeCell ref="R26:V26"/>
    <mergeCell ref="B18:D18"/>
    <mergeCell ref="B19:D19"/>
    <mergeCell ref="B21:N21"/>
    <mergeCell ref="R22:V22"/>
    <mergeCell ref="R23:V23"/>
    <mergeCell ref="R24:V24"/>
    <mergeCell ref="AB8:AD9"/>
    <mergeCell ref="AB10:AD11"/>
    <mergeCell ref="AB12:AD13"/>
    <mergeCell ref="AB14:AD15"/>
    <mergeCell ref="AB16:AD17"/>
    <mergeCell ref="R3:V4"/>
    <mergeCell ref="R8:S8"/>
    <mergeCell ref="R9:S9"/>
    <mergeCell ref="R10:S10"/>
    <mergeCell ref="R11:S11"/>
    <mergeCell ref="R13:S13"/>
    <mergeCell ref="AB18:AD19"/>
    <mergeCell ref="AB20:AD21"/>
    <mergeCell ref="AB22:AD23"/>
    <mergeCell ref="AB24:AD25"/>
    <mergeCell ref="AB26:AD27"/>
    <mergeCell ref="X3:AG4"/>
    <mergeCell ref="X6:AA7"/>
    <mergeCell ref="AB6:AD7"/>
    <mergeCell ref="AE6:AG7"/>
    <mergeCell ref="X22:AA23"/>
    <mergeCell ref="X20:AA21"/>
    <mergeCell ref="X18:AA19"/>
    <mergeCell ref="X16:AA17"/>
    <mergeCell ref="X14:AA15"/>
    <mergeCell ref="X12:AA13"/>
    <mergeCell ref="AE8:AG9"/>
    <mergeCell ref="AE10:AG11"/>
    <mergeCell ref="AE12:AG13"/>
    <mergeCell ref="AE14:AG15"/>
    <mergeCell ref="AE16:AG17"/>
    <mergeCell ref="AE18:AG19"/>
    <mergeCell ref="AE20:AG21"/>
    <mergeCell ref="X10:AA11"/>
    <mergeCell ref="X8:AA9"/>
    <mergeCell ref="AE22:AG23"/>
    <mergeCell ref="AE24:AG25"/>
    <mergeCell ref="AE26:AG27"/>
    <mergeCell ref="R43:S44"/>
    <mergeCell ref="T43:V44"/>
    <mergeCell ref="R33:V34"/>
    <mergeCell ref="X26:AA27"/>
    <mergeCell ref="X24:AA25"/>
    <mergeCell ref="R27:V28"/>
    <mergeCell ref="R29:V30"/>
    <mergeCell ref="R31:V32"/>
    <mergeCell ref="X28:AG31"/>
    <mergeCell ref="R48:AG49"/>
    <mergeCell ref="R51:W52"/>
    <mergeCell ref="X51:Z52"/>
    <mergeCell ref="AA51:AC52"/>
    <mergeCell ref="AD51:AG52"/>
    <mergeCell ref="R54:W55"/>
    <mergeCell ref="X54:Z55"/>
    <mergeCell ref="AA54:AC55"/>
    <mergeCell ref="AD54:AG55"/>
    <mergeCell ref="R56:W57"/>
    <mergeCell ref="X56:Z57"/>
    <mergeCell ref="AA56:AC57"/>
    <mergeCell ref="AD56:AG57"/>
    <mergeCell ref="R58:W59"/>
    <mergeCell ref="X58:Z59"/>
    <mergeCell ref="AA58:AC59"/>
    <mergeCell ref="AD58:AG59"/>
    <mergeCell ref="R60:W61"/>
    <mergeCell ref="X60:Z61"/>
    <mergeCell ref="AA60:AC61"/>
    <mergeCell ref="AD60:AG61"/>
    <mergeCell ref="R62:W63"/>
    <mergeCell ref="X62:Z63"/>
    <mergeCell ref="AA62:AC63"/>
    <mergeCell ref="AD62:AG63"/>
    <mergeCell ref="R64:W65"/>
    <mergeCell ref="X64:Z65"/>
    <mergeCell ref="AA64:AC65"/>
    <mergeCell ref="AD64:AG65"/>
    <mergeCell ref="R66:W67"/>
    <mergeCell ref="X66:Z67"/>
    <mergeCell ref="AA66:AC67"/>
    <mergeCell ref="AD66:AG67"/>
    <mergeCell ref="R68:W69"/>
    <mergeCell ref="X68:Z69"/>
    <mergeCell ref="AA68:AC69"/>
    <mergeCell ref="AD68:AG69"/>
    <mergeCell ref="R70:W71"/>
    <mergeCell ref="X70:Z71"/>
    <mergeCell ref="AA70:AC71"/>
    <mergeCell ref="AD70:AG71"/>
    <mergeCell ref="R73:AG75"/>
    <mergeCell ref="R84:AG87"/>
    <mergeCell ref="R89:AG90"/>
    <mergeCell ref="R114:AG116"/>
    <mergeCell ref="R118:AG120"/>
    <mergeCell ref="R77:W78"/>
    <mergeCell ref="X77:Z78"/>
    <mergeCell ref="AA77:AC78"/>
    <mergeCell ref="R79:W80"/>
    <mergeCell ref="X79:Z80"/>
    <mergeCell ref="AA79:AC80"/>
    <mergeCell ref="R91:AG92"/>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N87 N61 N63:N64 N44 N77:N78 N59 N49 N51:N57 N27 N30:N40 N69:N70 N82:N85">
    <cfRule type="cellIs" dxfId="13" priority="1" stopIfTrue="1" operator="equal">
      <formula>"NOT OKAY"</formula>
    </cfRule>
  </conditionalFormatting>
  <dataValidations count="15">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72E89FA4-43C1-4A39-94E8-DC913B36EA8A}">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AAD61B6A-E255-4651-A06E-02CA2E4A6634}">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B6D1BC9E-09F2-4A95-8539-6CDB2BDDF524}">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7E524474-D755-4274-8E86-3D35E9FF5ECC}">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43364FB2-F0F5-4DD1-8932-9BBC5A1B929F}">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5D9CA874-3766-421A-AD35-603CD5126794}">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338B07E5-78A9-422A-AC30-A121077AA8F8}">
      <formula1>"2,4,6,8,10"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098ECC3D-A101-4BF8-BC15-621F76AEA173}">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6BDF282B-ABE4-4B5C-9213-AFECA649B5D8}">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14438474-0700-4897-B9C6-C5A385FC62B7}">
      <formula1>"2,3,4,5,6,7,8,9,10,11,12,13,14"</formula1>
    </dataValidation>
    <dataValidation type="decimal" operator="greaterThanOrEqual" allowBlank="1" showInputMessage="1" showErrorMessage="1" sqref="G13" xr:uid="{B1BCE106-4A55-4B10-9B29-3D49324374BE}">
      <formula1>0</formula1>
    </dataValidation>
    <dataValidation type="list" allowBlank="1" showInputMessage="1" showErrorMessage="1" sqref="T16:U16" xr:uid="{A0940360-7ED3-41E5-85CE-E209F614AF3F}">
      <formula1>"Auto,Manual"</formula1>
    </dataValidation>
    <dataValidation type="list" allowBlank="1" showInputMessage="1" showErrorMessage="1" sqref="U13:V13" xr:uid="{FA1A7961-F6BB-4B85-A255-226FAC009698}">
      <formula1>"Simply-supported,End span,Continuous"</formula1>
    </dataValidation>
    <dataValidation type="list" allowBlank="1" showInputMessage="1" showErrorMessage="1" sqref="AB9 AC8:AD9 AF8:AG9 AE9" xr:uid="{46F46E5E-9D31-4191-B1A7-1E4119DB7E3E}">
      <formula1>"Yes,No"</formula1>
    </dataValidation>
    <dataValidation type="list" allowBlank="1" showInputMessage="1" showErrorMessage="1" sqref="AB11 AC10:AD11 AF10:AG11 AE11" xr:uid="{D238B40A-DB21-40FF-BD20-5F7E5B4196BB}">
      <formula1>"Simply-supported,Manual reaction"</formula1>
    </dataValidation>
  </dataValidations>
  <hyperlinks>
    <hyperlink ref="R118" r:id="rId1" display="https://www.hkie-st.org/wp-content/uploads/2022/06/85_book1-01022018e.pdf" xr:uid="{51FA05ED-841F-4B38-B1F2-46452C7DD649}"/>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FB6-9D36-4BD5-8ED9-BB0FD5BDD6BC}">
  <sheetPr codeName="Sheet14">
    <tabColor rgb="FF205E73"/>
    <pageSetUpPr fitToPage="1"/>
  </sheetPr>
  <dimension ref="A1:CG280"/>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60" width="16.69921875" style="70" hidden="1" customWidth="1"/>
    <col min="61" max="61" width="40.69921875" style="70" hidden="1" customWidth="1"/>
    <col min="62"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268">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row>
    <row r="2" spans="1:85" ht="27" customHeight="1">
      <c r="A2" s="116"/>
      <c r="B2" s="410" t="s">
        <v>978</v>
      </c>
      <c r="C2" s="410"/>
      <c r="D2" s="410"/>
      <c r="E2" s="410"/>
      <c r="F2" s="410"/>
      <c r="G2" s="410"/>
      <c r="H2" s="410"/>
      <c r="I2" s="410"/>
      <c r="J2" s="410"/>
      <c r="K2" s="410"/>
      <c r="L2" s="410"/>
      <c r="M2" s="410"/>
      <c r="N2" s="410"/>
      <c r="O2" s="141"/>
      <c r="AK2" s="72" t="s">
        <v>561</v>
      </c>
      <c r="AL2" s="68" t="str">
        <f>IF(OR('_MB Analysis'!$I$25&lt;&gt;"OK",COUNT($G$16)&lt;&gt;1,$G$16&lt;0),"",IF(OR(G15&gt;750,K25&lt;&gt;0),ROUNDUP(AM3/T10,0),""))</f>
        <v/>
      </c>
      <c r="AM2" s="68" t="str">
        <f>IF(OR('_MB Analysis'!$I$25&lt;&gt;"OK",COUNT($G$16)&lt;&gt;1,$G$16&lt;0),"",MIN(AR16,AU16,AX16,BA16))</f>
        <v/>
      </c>
      <c r="AN2" s="69"/>
      <c r="AO2" s="70" t="str">
        <f>IF(OR('_MB Analysis'!$I$25&lt;&gt;"OK",COUNT($G$16)&lt;&gt;1,$G$16&lt;0),"",G16)</f>
        <v/>
      </c>
      <c r="AP2" s="73" t="str">
        <f>IF(OR('_MB Analysis'!$I$25&lt;&gt;"OK",COUNT($G$16)&lt;&gt;1,$G$16&lt;0),"",AM3/2)</f>
        <v/>
      </c>
      <c r="AR2" s="269" t="str">
        <f>IF(OR('_MB Analysis'!$I$25&lt;&gt;"OK",COUNT($G$16)&lt;&gt;1,$G$16&lt;0),"",AD14)</f>
        <v/>
      </c>
      <c r="AS2" s="70" t="str">
        <f>IF(OR('_MB Analysis'!$I$25&lt;&gt;"OK",COUNT($G$16)&lt;&gt;1,$G$16&lt;0),"",AD16)</f>
        <v/>
      </c>
      <c r="AT2" s="70" t="str">
        <f>IF(OR('_MB Analysis'!$I$25&lt;&gt;"OK",COUNT($G$16)&lt;&gt;1,$G$16&lt;0),"",(AC15-AC14)/(C40-1))</f>
        <v/>
      </c>
      <c r="AU2" s="70" t="str">
        <f>IF(OR('_MB Analysis'!$I$25&lt;&gt;"OK",COUNT($G$16)&lt;&gt;1,$G$16&lt;0),"",IF(AW2=0,$G$16,AR2-AF10))</f>
        <v/>
      </c>
      <c r="AV2" s="70" t="str">
        <f>IF(OR('_MB Analysis'!$I$25&lt;&gt;"OK",COUNT($G$16)&lt;&gt;1,$G$16&lt;0),"",AS2)</f>
        <v/>
      </c>
      <c r="AW2" s="70" t="str">
        <f>IF(OR('_MB Analysis'!$I$25&lt;&gt;"OK",COUNT($G$16)&lt;&gt;1,$G$16&lt;0),"",IF((AC15-AC14)/(C41-1)&lt;0,0,(AC15-AC14)/(C41-1)))</f>
        <v/>
      </c>
      <c r="AX2" s="70" t="str">
        <f>IF(OR('_MB Analysis'!$I$25&lt;&gt;"OK",COUNT($G$16)&lt;&gt;1,$G$16&lt;0),"",IF(AZ2=0,$G$16,$AU$2-AF10))</f>
        <v/>
      </c>
      <c r="AY2" s="70" t="str">
        <f>IF(OR('_MB Analysis'!$I$25&lt;&gt;"OK",COUNT($G$16)&lt;&gt;1,$G$16&lt;0),"",AV2)</f>
        <v/>
      </c>
      <c r="AZ2" s="70" t="str">
        <f>IF(OR('_MB Analysis'!$I$25&lt;&gt;"OK",COUNT($G$16)&lt;&gt;1,$G$16&lt;0),"",IF((AC15-AC14)/(C42-1)&lt;0,0,(AC16-AC14)/(C42-1)))</f>
        <v/>
      </c>
      <c r="BA2" s="70" t="str">
        <f>IF(OR('_MB Analysis'!$I$25&lt;&gt;"OK",COUNT($G$16)&lt;&gt;1,$G$16&lt;0),"",IF(BC2=0,$G$16,$AX$2-AF10))</f>
        <v/>
      </c>
      <c r="BB2" s="70" t="str">
        <f>IF(OR('_MB Analysis'!$I$25&lt;&gt;"OK",COUNT($G$16)&lt;&gt;1,$G$16&lt;0),"",AY2)</f>
        <v/>
      </c>
      <c r="BC2" s="73" t="str">
        <f>IF(OR('_MB Analysis'!$I$25&lt;&gt;"OK",COUNT($G$16)&lt;&gt;1,$G$16&lt;0),"",IF((AC15-AC14)/(C43-1)&lt;0,0,(AC15-AC14)/(C43-1)))</f>
        <v/>
      </c>
      <c r="BD2" s="269" t="str">
        <f>IF(OR('_MB Analysis'!$I$25&lt;&gt;"OK",COUNT($G$16)&lt;&gt;1,$G$16&lt;0),"",AC13)</f>
        <v/>
      </c>
      <c r="BE2" s="70" t="str">
        <f>IF(OR('_MB Analysis'!$I$25&lt;&gt;"OK",COUNT($G$16)&lt;&gt;1,$G$16&lt;0),"",AC13)</f>
        <v/>
      </c>
      <c r="BF2" s="70" t="str">
        <f>IF(OR('_MB Analysis'!$I$25&lt;&gt;"OK",COUNT($G$16)&lt;&gt;1,$G$16&lt;0),"",(AC15-AC14)/(C44-1))</f>
        <v/>
      </c>
      <c r="BG2" s="70" t="str">
        <f>IF(OR('_MB Analysis'!$I$25&lt;&gt;"OK",COUNT($G$16)&lt;&gt;1,$G$16&lt;0),"",IF(BI2=0,$G$16,BD2+AF10))</f>
        <v/>
      </c>
      <c r="BH2" s="70" t="str">
        <f>IF(OR('_MB Analysis'!$I$25&lt;&gt;"OK",COUNT($G$16)&lt;&gt;1,$G$16&lt;0),"",BE2)</f>
        <v/>
      </c>
      <c r="BI2" s="70" t="str">
        <f>IF(OR('_MB Analysis'!$I$25&lt;&gt;"OK",COUNT($G$16)&lt;&gt;1,$G$16&lt;0),"",IF((AC15-AC14)/(C45-1)&lt;0,0,(AC15-AC14)/(C45-1)))</f>
        <v/>
      </c>
      <c r="BJ2" s="70" t="str">
        <f>IF(OR('_MB Analysis'!$I$25&lt;&gt;"OK",COUNT($G$16)&lt;&gt;1,$G$16&lt;0),"",IF(BL2=0,$G$16,$BG$2+AF10))</f>
        <v/>
      </c>
      <c r="BK2" s="70" t="str">
        <f>IF(OR('_MB Analysis'!$I$25&lt;&gt;"OK",COUNT($G$16)&lt;&gt;1,$G$16&lt;0),"",BH2)</f>
        <v/>
      </c>
      <c r="BL2" s="70" t="str">
        <f>IF(OR('_MB Analysis'!$I$25&lt;&gt;"OK",COUNT($G$16)&lt;&gt;1,$G$16&lt;0),"",IF((AC15-AC14)/(C46-1)&lt;0,0,(AC15-AC14)/(C46-1)))</f>
        <v/>
      </c>
      <c r="BM2" s="70" t="str">
        <f>IF(OR('_MB Analysis'!$I$25&lt;&gt;"OK",COUNT($G$16)&lt;&gt;1,$G$16&lt;0),"",IF(BO2=0,$G$16,$BJ$2+AF10))</f>
        <v/>
      </c>
      <c r="BN2" s="70" t="str">
        <f>IF(OR('_MB Analysis'!$I$25&lt;&gt;"OK",COUNT($G$16)&lt;&gt;1,$G$16&lt;0),"",BK2)</f>
        <v/>
      </c>
      <c r="BO2" s="73" t="str">
        <f>IF(OR('_MB Analysis'!$I$25&lt;&gt;"OK",COUNT($G$16)&lt;&gt;1,$G$16&lt;0),"",IF((AC15-AC14)/(C47-1)&lt;0,0,(AC15-AC14)/(C47-1)))</f>
        <v/>
      </c>
    </row>
    <row r="3" spans="1:85" ht="15" customHeight="1">
      <c r="A3" s="116"/>
      <c r="B3" s="140"/>
      <c r="C3" s="140"/>
      <c r="D3" s="140"/>
      <c r="E3" s="140"/>
      <c r="F3" s="140"/>
      <c r="G3" s="140"/>
      <c r="H3" s="140"/>
      <c r="I3" s="140"/>
      <c r="J3" s="140"/>
      <c r="K3" s="140"/>
      <c r="L3" s="140"/>
      <c r="M3" s="140"/>
      <c r="N3" s="140"/>
      <c r="O3" s="116"/>
      <c r="R3" s="71" t="s">
        <v>562</v>
      </c>
      <c r="AC3" s="70" t="s">
        <v>563</v>
      </c>
      <c r="AD3" s="70" t="str">
        <f>IF(OR('_MB Analysis'!$I$25&lt;&gt;"OK",COUNT($G$16)&lt;&gt;1,$G$16&lt;0),"",$G$16)</f>
        <v/>
      </c>
      <c r="AE3" s="70" t="str">
        <f>IF(OR('_MB Analysis'!$I$25&lt;&gt;"OK",COUNT($G$16)&lt;&gt;1,$G$16&lt;0),"",Y4-AD3)</f>
        <v/>
      </c>
      <c r="AH3" s="70" t="s">
        <v>564</v>
      </c>
      <c r="AK3" s="74" t="str">
        <f>IF(OR('_MB Analysis'!$I$25&lt;&gt;"OK",COUNT($G$16)&lt;&gt;1,$G$16&lt;0),"",O69)</f>
        <v/>
      </c>
      <c r="AL3" s="70" t="str">
        <f>IF(OR('_MB Analysis'!$I$25&lt;&gt;"OK",COUNT($G$16)&lt;&gt;1,$G$16&lt;0),"",IF(AL2="","",(MIN(AR16,AU16,AX16,BA16)-MAX(BD16,BG16,BJ16,BM16))/AL2))</f>
        <v/>
      </c>
      <c r="AM3" s="70" t="str">
        <f>IF(OR('_MB Analysis'!$I$25&lt;&gt;"OK",COUNT($G$16)&lt;&gt;1,$G$16&lt;0),"",MIN(AR16,AU16,AX16,BA16)-MAX(BD16,BG16,BJ16,BM16))</f>
        <v/>
      </c>
      <c r="AO3" s="70" t="str">
        <f>IF(OR('_MB Analysis'!$I$25&lt;&gt;"OK",COUNT($G$16)&lt;&gt;1,$G$16&lt;0),"",IF(AL5="",AO2,Y4-AO2))</f>
        <v/>
      </c>
      <c r="AP3" s="70" t="str">
        <f>IF(OR('_MB Analysis'!$I$25&lt;&gt;"OK",COUNT($G$16)&lt;&gt;1,$G$16&lt;0),"",AP2)</f>
        <v/>
      </c>
      <c r="AR3" s="269" t="str">
        <f>IF(OR('_MB Analysis'!$I$25&lt;&gt;"OK",COUNT($G$16)&lt;&gt;1,$G$16&lt;0),"",IF(AS3&lt;&gt;$G$16,$AR$2,$G$16))</f>
        <v/>
      </c>
      <c r="AS3" s="70" t="str">
        <f>IF(OR('_MB Analysis'!$I$25&lt;&gt;"OK",COUNT($G$16)&lt;&gt;1,$G$16&lt;0),"",IF(AS2=0,0,IF(AS2+$AT$2&gt;$AC$15,0,AS2+$AT$2)))</f>
        <v/>
      </c>
      <c r="AU3" s="70" t="str">
        <f>IF(OR('_MB Analysis'!$I$25&lt;&gt;"OK",COUNT($G$16)&lt;&gt;1,$G$16&lt;0),"",IF(AV3&lt;&gt;$G$16,$AU$2,$G$16))</f>
        <v/>
      </c>
      <c r="AV3" s="70" t="str">
        <f>IF(OR('_MB Analysis'!$I$25&lt;&gt;"OK",COUNT($G$16)&lt;&gt;1,$G$16&lt;0),"",IF(AV2=0,0,IF(AV2+$AW$2&gt;$AC$15,0,AV2+$AW$2)))</f>
        <v/>
      </c>
      <c r="AX3" s="70" t="str">
        <f>IF(OR('_MB Analysis'!$I$25&lt;&gt;"OK",COUNT($G$16)&lt;&gt;1,$G$16&lt;0),"",IF(AY3&lt;&gt;$G$16,$AX$2,$G$16))</f>
        <v/>
      </c>
      <c r="AY3" s="70" t="str">
        <f>IF(OR('_MB Analysis'!$I$25&lt;&gt;"OK",COUNT($G$16)&lt;&gt;1,$G$16&lt;0),"",IF(AY2=0,0,IF(AY2+$AZ$2&gt;$AC$15,0,AY2+$AZ$2)))</f>
        <v/>
      </c>
      <c r="BA3" s="70" t="str">
        <f>IF(OR('_MB Analysis'!$I$25&lt;&gt;"OK",COUNT($G$16)&lt;&gt;1,$G$16&lt;0),"",IF(BB3&lt;&gt;$G$16,$BA$2,$G$16))</f>
        <v/>
      </c>
      <c r="BB3" s="70" t="str">
        <f>IF(OR('_MB Analysis'!$I$25&lt;&gt;"OK",COUNT($G$16)&lt;&gt;1,$G$16&lt;0),"",IF(BB2=0,0,IF(BB2+$BC$2&gt;$AC$15,0,BB2+$BC$2)))</f>
        <v/>
      </c>
      <c r="BC3" s="73"/>
      <c r="BD3" s="269" t="str">
        <f>IF(OR('_MB Analysis'!$I$25&lt;&gt;"OK",COUNT($G$16)&lt;&gt;1,$G$16&lt;0),"",IF(BE3&lt;&gt;0,$BD$2,0))</f>
        <v/>
      </c>
      <c r="BE3" s="70" t="str">
        <f>IF(OR('_MB Analysis'!$I$25&lt;&gt;"OK",COUNT($G$16)&lt;&gt;1,$G$16&lt;0),"",IF(BE2=0,0,IF(BE2+$BF$2&gt;$AC$15,0,BE2+$BF$2)))</f>
        <v/>
      </c>
      <c r="BG3" s="70" t="str">
        <f>IF(OR('_MB Analysis'!$I$25&lt;&gt;"OK",COUNT($G$16)&lt;&gt;1,$G$16&lt;0),"",IF(BH3&lt;&gt;$G$16,$BG$2,$G$16))</f>
        <v/>
      </c>
      <c r="BH3" s="70" t="str">
        <f>IF(OR('_MB Analysis'!$I$25&lt;&gt;"OK",COUNT($G$16)&lt;&gt;1,$G$16&lt;0),"",IF(BH2=0,0,IF(BH2+$BI$2&gt;$AC$15,0,BH2+$BI$2)))</f>
        <v/>
      </c>
      <c r="BJ3" s="70" t="str">
        <f>IF(OR('_MB Analysis'!$I$25&lt;&gt;"OK",COUNT($G$16)&lt;&gt;1,$G$16&lt;0),"",IF(BK3&lt;&gt;$G$16,$BJ$2,$G$16))</f>
        <v/>
      </c>
      <c r="BK3" s="70" t="str">
        <f>IF(OR('_MB Analysis'!$I$25&lt;&gt;"OK",COUNT($G$16)&lt;&gt;1,$G$16&lt;0),"",IF(BK2=0,0,IF(BK2+$BL$2&gt;$AC$15,0,BK2+$BL$2)))</f>
        <v/>
      </c>
      <c r="BM3" s="70" t="str">
        <f>IF(OR('_MB Analysis'!$I$25&lt;&gt;"OK",COUNT($G$16)&lt;&gt;1,$G$16&lt;0),"",IF(BN3&lt;&gt;$G$16,$BM$2,$G$16))</f>
        <v/>
      </c>
      <c r="BN3" s="70" t="str">
        <f>IF(OR('_MB Analysis'!$I$25&lt;&gt;"OK",COUNT($G$16)&lt;&gt;1,$G$16&lt;0),"",IF(BN2=0,0,IF(BN2+$BO$2&gt;$AC$15,0,BN2+$BO$2)))</f>
        <v/>
      </c>
      <c r="BO3" s="73"/>
    </row>
    <row r="4" spans="1:85" ht="15" customHeight="1">
      <c r="A4" s="116"/>
      <c r="B4" s="140"/>
      <c r="C4" s="140"/>
      <c r="D4" s="140"/>
      <c r="E4" s="140"/>
      <c r="F4" s="140"/>
      <c r="G4" s="140"/>
      <c r="H4" s="140"/>
      <c r="I4" s="140"/>
      <c r="J4" s="140"/>
      <c r="K4" s="140"/>
      <c r="L4" s="140"/>
      <c r="M4" s="140"/>
      <c r="N4" s="140"/>
      <c r="O4" s="116"/>
      <c r="R4" s="71" t="s">
        <v>565</v>
      </c>
      <c r="Y4" s="70" t="str">
        <f>IF(OR('_MB Analysis'!$I$25&lt;&gt;"OK",COUNT($G$16)&lt;&gt;1,$G$16&lt;0),"",G12*1000)</f>
        <v/>
      </c>
      <c r="Z4" s="70" t="str">
        <f>IF(OR('_MB Analysis'!$I$25&lt;&gt;"OK",COUNT($G$16)&lt;&gt;1,$G$16&lt;0),"",G15)</f>
        <v/>
      </c>
      <c r="AA4" s="70">
        <v>0</v>
      </c>
      <c r="AB4" s="70">
        <v>0</v>
      </c>
      <c r="AC4" s="70" t="str">
        <f>IF(OR('_MB Analysis'!$I$25&lt;&gt;"OK",COUNT($G$16)&lt;&gt;1,$G$16&lt;0),"",IF(C40=0,"",C40&amp;"T"&amp;D40))</f>
        <v/>
      </c>
      <c r="AD4" s="70" t="str">
        <f>IF(OR('_MB Analysis'!$I$25&lt;&gt;"OK",COUNT($G$16)&lt;&gt;1,$G$16&lt;0),"",AR2)</f>
        <v/>
      </c>
      <c r="AE4" s="70" t="str">
        <f>IF(OR('_MB Analysis'!$I$25&lt;&gt;"OK",COUNT($G$16)&lt;&gt;1,$G$16&lt;0),"",AD4)</f>
        <v/>
      </c>
      <c r="AH4" s="70" t="str">
        <f>IF(OR('_MB Analysis'!$I$25&lt;&gt;"OK",COUNT($G$16)&lt;&gt;1,$G$16&lt;0),"",IF(C44=0,"",C44&amp;"T"&amp;D44))</f>
        <v/>
      </c>
      <c r="AI4" s="70" t="str">
        <f>IF(OR('_MB Analysis'!$I$25&lt;&gt;"OK",COUNT($G$16)&lt;&gt;1,$G$16&lt;0),"",BD2)</f>
        <v/>
      </c>
      <c r="AJ4" s="70" t="str">
        <f>IF(OR('_MB Analysis'!$I$25&lt;&gt;"OK",COUNT($G$16)&lt;&gt;1,$G$16&lt;0),"",AI4)</f>
        <v/>
      </c>
      <c r="AK4" s="74" t="str">
        <f>IF(OR('_MB Analysis'!$I$25&lt;&gt;"OK",COUNT($G$16)&lt;&gt;1,$G$16&lt;0),"",O77)</f>
        <v/>
      </c>
      <c r="AL4" s="70" t="str">
        <f>IF(OR('_MB Analysis'!$I$25&lt;&gt;"OK",COUNT($G$16)&lt;&gt;1,$G$16&lt;0),"",IF(AL3="","",(AL3*MIN(500,G14)/G18)^0.5))</f>
        <v/>
      </c>
      <c r="AN4" s="73"/>
      <c r="AO4" s="270" t="str">
        <f>IF(OR('_MB Analysis'!$I$25&lt;&gt;"OK",COUNT($G$16)&lt;&gt;1,$G$16&lt;0),"",IF(AL4="","",AL2-1&amp;"T"&amp;AL5&amp;" EF"))</f>
        <v/>
      </c>
      <c r="AR4" s="269" t="str">
        <f>IF(OR('_MB Analysis'!$I$25&lt;&gt;"OK",COUNT($G$16)&lt;&gt;1,$G$16&lt;0),"",IF(AS4&lt;&gt;$G$16,$AR$2,$G$16))</f>
        <v/>
      </c>
      <c r="AS4" s="70" t="str">
        <f>IF(OR('_MB Analysis'!$I$25&lt;&gt;"OK",COUNT($G$16)&lt;&gt;1,$G$16&lt;0),"",IF(AS3=$G$16,$G$16,IF(AS3+$AT$2&gt;$AC$15,$G$16,AS3+$AT$2)))</f>
        <v/>
      </c>
      <c r="AU4" s="70" t="str">
        <f>IF(OR('_MB Analysis'!$I$25&lt;&gt;"OK",COUNT($G$16)&lt;&gt;1,$G$16&lt;0),"",IF(AV4&lt;&gt;$G$16,$AU$2,$G$16))</f>
        <v/>
      </c>
      <c r="AV4" s="70" t="str">
        <f>IF(OR('_MB Analysis'!$I$25&lt;&gt;"OK",COUNT($G$16)&lt;&gt;1,$G$16&lt;0),"",IF(AV3=$G$16,$G$16,IF(AV3+$AW$2&gt;$AC$15,$G$16,AV3+$AW$2)))</f>
        <v/>
      </c>
      <c r="AX4" s="70" t="str">
        <f>IF(OR('_MB Analysis'!$I$25&lt;&gt;"OK",COUNT($G$16)&lt;&gt;1,$G$16&lt;0),"",IF(AY4&lt;&gt;$G$16,$AX$2,$G$16))</f>
        <v/>
      </c>
      <c r="AY4" s="70" t="str">
        <f>IF(OR('_MB Analysis'!$I$25&lt;&gt;"OK",COUNT($G$16)&lt;&gt;1,$G$16&lt;0),"",IF(AY3=$G$16,$G$16,IF(AY3+$AZ$2&gt;$AC$15,$G$16,AY3+$AZ$2)))</f>
        <v/>
      </c>
      <c r="BA4" s="70" t="str">
        <f>IF(OR('_MB Analysis'!$I$25&lt;&gt;"OK",COUNT($G$16)&lt;&gt;1,$G$16&lt;0),"",IF(BB4&lt;&gt;$G$16,$BA$2,$G$16))</f>
        <v/>
      </c>
      <c r="BB4" s="70" t="str">
        <f>IF(OR('_MB Analysis'!$I$25&lt;&gt;"OK",COUNT($G$16)&lt;&gt;1,$G$16&lt;0),"",IF(BB3=$G$16,$G$16,IF(BB3+$BC$2&gt;$AC$15,$G$16,BB3+$BC$2)))</f>
        <v/>
      </c>
      <c r="BC4" s="73"/>
      <c r="BD4" s="269" t="str">
        <f>IF(OR('_MB Analysis'!$I$25&lt;&gt;"OK",COUNT($G$16)&lt;&gt;1,$G$16&lt;0),"",IF(BE4&lt;&gt;$G$16,$BD$2,$G$16))</f>
        <v/>
      </c>
      <c r="BE4" s="70" t="str">
        <f>IF(OR('_MB Analysis'!$I$25&lt;&gt;"OK",COUNT($G$16)&lt;&gt;1,$G$16&lt;0),"",IF(BE3=$G$16,$G$16,IF(BE3+$BF$2&gt;$AC$15,$G$16,BE3+$BF$2)))</f>
        <v/>
      </c>
      <c r="BG4" s="70" t="str">
        <f>IF(OR('_MB Analysis'!$I$25&lt;&gt;"OK",COUNT($G$16)&lt;&gt;1,$G$16&lt;0),"",IF(BH4&lt;&gt;$G$16,$BG$2,$G$16))</f>
        <v/>
      </c>
      <c r="BH4" s="70" t="str">
        <f>IF(OR('_MB Analysis'!$I$25&lt;&gt;"OK",COUNT($G$16)&lt;&gt;1,$G$16&lt;0),"",IF(BH3=$G$16,$G$16,IF(BH3+$BI$2&gt;$AC$15,$G$16,BH3+$BI$2)))</f>
        <v/>
      </c>
      <c r="BJ4" s="70" t="str">
        <f>IF(OR('_MB Analysis'!$I$25&lt;&gt;"OK",COUNT($G$16)&lt;&gt;1,$G$16&lt;0),"",IF(BK4&lt;&gt;$G$16,$BJ$2,$G$16))</f>
        <v/>
      </c>
      <c r="BK4" s="70" t="str">
        <f>IF(OR('_MB Analysis'!$I$25&lt;&gt;"OK",COUNT($G$16)&lt;&gt;1,$G$16&lt;0),"",IF(BK3=$G$16,$G$16,IF(BK3+$BL$2&gt;$AC$15,$G$16,BK3+$BL$2)))</f>
        <v/>
      </c>
      <c r="BM4" s="70" t="str">
        <f>IF(OR('_MB Analysis'!$I$25&lt;&gt;"OK",COUNT($G$16)&lt;&gt;1,$G$16&lt;0),"",IF(BN4&lt;&gt;$G$16,$BM$2,$G$16))</f>
        <v/>
      </c>
      <c r="BN4" s="70" t="str">
        <f>IF(OR('_MB Analysis'!$I$25&lt;&gt;"OK",COUNT($G$16)&lt;&gt;1,$G$16&lt;0),"",IF(BN3=$G$16,$G$16,IF(BN3+$BO$2&gt;$AC$15,$G$16,BN3+$BO$2)))</f>
        <v/>
      </c>
      <c r="BO4" s="73"/>
    </row>
    <row r="5" spans="1:85" ht="24" customHeight="1">
      <c r="A5" s="116"/>
      <c r="B5" s="554" t="s">
        <v>1111</v>
      </c>
      <c r="C5" s="555"/>
      <c r="D5" s="555"/>
      <c r="E5" s="555"/>
      <c r="F5" s="555"/>
      <c r="G5" s="555"/>
      <c r="H5" s="555"/>
      <c r="I5" s="555"/>
      <c r="J5" s="412" t="str">
        <f>"Steel mode: "&amp;T16</f>
        <v>Steel mode: Auto</v>
      </c>
      <c r="K5" s="412"/>
      <c r="L5" s="412"/>
      <c r="M5" s="412"/>
      <c r="N5" s="412"/>
      <c r="O5" s="116"/>
      <c r="AA5" s="70">
        <v>0</v>
      </c>
      <c r="AB5" s="70" t="str">
        <f>IF(OR('_MB Analysis'!$I$25&lt;&gt;"OK",COUNT($G$16)&lt;&gt;1,$G$16&lt;0),"",Y4)</f>
        <v/>
      </c>
      <c r="AC5" s="70" t="str">
        <f>IF(OR('_MB Analysis'!$I$25&lt;&gt;"OK",COUNT($G$16)&lt;&gt;1,$G$16&lt;0),"",IF(C41=0,"",C41&amp;"T"&amp;D41))</f>
        <v/>
      </c>
      <c r="AD5" s="70" t="str">
        <f>IF(OR('_MB Analysis'!$I$25&lt;&gt;"OK",COUNT($G$16)&lt;&gt;1,$G$16&lt;0),"",AU2)</f>
        <v/>
      </c>
      <c r="AE5" s="70" t="str">
        <f>IF(OR('_MB Analysis'!$I$25&lt;&gt;"OK",COUNT($G$16)&lt;&gt;1,$G$16&lt;0),"",AD5)</f>
        <v/>
      </c>
      <c r="AH5" s="70" t="str">
        <f>IF(OR('_MB Analysis'!$I$25&lt;&gt;"OK",COUNT($G$16)&lt;&gt;1,$G$16&lt;0),"",IF(C45=0,"",C45&amp;"T"&amp;D45))</f>
        <v/>
      </c>
      <c r="AI5" s="70" t="str">
        <f>IF(OR('_MB Analysis'!$I$25&lt;&gt;"OK",COUNT($G$16)&lt;&gt;1,$G$16&lt;0),"",BG2)</f>
        <v/>
      </c>
      <c r="AJ5" s="70" t="str">
        <f>IF(OR('_MB Analysis'!$I$25&lt;&gt;"OK",COUNT($G$16)&lt;&gt;1,$G$16&lt;0),"",AI5)</f>
        <v/>
      </c>
      <c r="AK5" s="74" t="str">
        <f>IF(OR('_MB Analysis'!$I$25&lt;&gt;"OK",COUNT($G$16)&lt;&gt;1,$G$16&lt;0),"",O78)</f>
        <v/>
      </c>
      <c r="AL5" s="70" t="str">
        <f>IF(OR('_MB Analysis'!$I$25&lt;&gt;"OK",COUNT($G$16)&lt;&gt;1,$G$16&lt;0),"",IF(AL4="","",IF(AL4&lt;10,10,IF(AL4&lt;12,12,IF(AL4&lt;16,16,IF(AL4&lt;20,20,IF(AL4&lt;25,25,IF(AL4&lt;32,32,40))))))))</f>
        <v/>
      </c>
      <c r="AN5" s="73"/>
      <c r="AR5" s="269" t="str">
        <f>IF(OR('_MB Analysis'!$I$25&lt;&gt;"OK",COUNT($G$16)&lt;&gt;1,$G$16&lt;0),"",IF(AS5&lt;&gt;$G$16,$AR$2,$G$16))</f>
        <v/>
      </c>
      <c r="AS5" s="70" t="str">
        <f>IF(OR('_MB Analysis'!$I$25&lt;&gt;"OK",COUNT($G$16)&lt;&gt;1,$G$16&lt;0),"",IF(AS4=$G$16,$G$16,IF(AS4+$AT$2&gt;$AC$15,$G$16,AS4+$AT$2)))</f>
        <v/>
      </c>
      <c r="AU5" s="70" t="str">
        <f>IF(OR('_MB Analysis'!$I$25&lt;&gt;"OK",COUNT($G$16)&lt;&gt;1,$G$16&lt;0),"",IF(AV5&lt;&gt;$G$16,$AU$2,$G$16))</f>
        <v/>
      </c>
      <c r="AV5" s="70" t="str">
        <f>IF(OR('_MB Analysis'!$I$25&lt;&gt;"OK",COUNT($G$16)&lt;&gt;1,$G$16&lt;0),"",IF(AV4=$G$16,$G$16,IF(AV4+$AW$2&gt;$AC$15,$G$16,AV4+$AW$2)))</f>
        <v/>
      </c>
      <c r="AX5" s="70" t="str">
        <f>IF(OR('_MB Analysis'!$I$25&lt;&gt;"OK",COUNT($G$16)&lt;&gt;1,$G$16&lt;0),"",IF(AY5&lt;&gt;$G$16,$AX$2,$G$16))</f>
        <v/>
      </c>
      <c r="AY5" s="70" t="str">
        <f>IF(OR('_MB Analysis'!$I$25&lt;&gt;"OK",COUNT($G$16)&lt;&gt;1,$G$16&lt;0),"",IF(AY4=$G$16,$G$16,IF(AY4+$AZ$2&gt;$AC$15,$G$16,AY4+$AZ$2)))</f>
        <v/>
      </c>
      <c r="BA5" s="70" t="str">
        <f>IF(OR('_MB Analysis'!$I$25&lt;&gt;"OK",COUNT($G$16)&lt;&gt;1,$G$16&lt;0),"",IF(BB5&lt;&gt;$G$16,$BA$2,$G$16))</f>
        <v/>
      </c>
      <c r="BB5" s="70" t="str">
        <f>IF(OR('_MB Analysis'!$I$25&lt;&gt;"OK",COUNT($G$16)&lt;&gt;1,$G$16&lt;0),"",IF(BB4=$G$16,$G$16,IF(BB4+$BC$2&gt;$AC$15,$G$16,BB4+$BC$2)))</f>
        <v/>
      </c>
      <c r="BC5" s="73"/>
      <c r="BD5" s="269" t="str">
        <f>IF(OR('_MB Analysis'!$I$25&lt;&gt;"OK",COUNT($G$16)&lt;&gt;1,$G$16&lt;0),"",IF(BE5&lt;&gt;$G$16,$BD$2,$G$16))</f>
        <v/>
      </c>
      <c r="BE5" s="70" t="str">
        <f>IF(OR('_MB Analysis'!$I$25&lt;&gt;"OK",COUNT($G$16)&lt;&gt;1,$G$16&lt;0),"",IF(BE4=$G$16,$G$16,IF(BE4+$BF$2&gt;$AC$15,$G$16,BE4+$BF$2)))</f>
        <v/>
      </c>
      <c r="BG5" s="70" t="str">
        <f>IF(OR('_MB Analysis'!$I$25&lt;&gt;"OK",COUNT($G$16)&lt;&gt;1,$G$16&lt;0),"",IF(BH5&lt;&gt;$G$16,$BG$2,$G$16))</f>
        <v/>
      </c>
      <c r="BH5" s="70" t="str">
        <f>IF(OR('_MB Analysis'!$I$25&lt;&gt;"OK",COUNT($G$16)&lt;&gt;1,$G$16&lt;0),"",IF(BH4=$G$16,$G$16,IF(BH4+$BI$2&gt;$AC$15,$G$16,BH4+$BI$2)))</f>
        <v/>
      </c>
      <c r="BJ5" s="70" t="str">
        <f>IF(OR('_MB Analysis'!$I$25&lt;&gt;"OK",COUNT($G$16)&lt;&gt;1,$G$16&lt;0),"",IF(BK5&lt;&gt;$G$16,$BJ$2,$G$16))</f>
        <v/>
      </c>
      <c r="BK5" s="70" t="str">
        <f>IF(OR('_MB Analysis'!$I$25&lt;&gt;"OK",COUNT($G$16)&lt;&gt;1,$G$16&lt;0),"",IF(BK4=$G$16,$G$16,IF(BK4+$BL$2&gt;$AC$15,$G$16,BK4+$BL$2)))</f>
        <v/>
      </c>
      <c r="BM5" s="70" t="str">
        <f>IF(OR('_MB Analysis'!$I$25&lt;&gt;"OK",COUNT($G$16)&lt;&gt;1,$G$16&lt;0),"",IF(BN5&lt;&gt;$G$16,$BM$2,$G$16))</f>
        <v/>
      </c>
      <c r="BN5" s="70" t="str">
        <f>IF(OR('_MB Analysis'!$I$25&lt;&gt;"OK",COUNT($G$16)&lt;&gt;1,$G$16&lt;0),"",IF(BN4=$G$16,$G$16,IF(BN4+$BO$2&gt;$AC$15,$G$16,BN4+$BO$2)))</f>
        <v/>
      </c>
      <c r="BO5" s="73"/>
    </row>
    <row r="6" spans="1:85" ht="24" customHeight="1">
      <c r="A6" s="116"/>
      <c r="B6" s="552" t="s">
        <v>1015</v>
      </c>
      <c r="C6" s="412"/>
      <c r="D6" s="412"/>
      <c r="E6" s="412"/>
      <c r="F6" s="412"/>
      <c r="G6" s="412"/>
      <c r="H6" s="412"/>
      <c r="I6" s="412"/>
      <c r="J6" s="412"/>
      <c r="K6" s="412"/>
      <c r="L6" s="412"/>
      <c r="M6" s="412"/>
      <c r="N6" s="412"/>
      <c r="O6" s="412"/>
      <c r="AA6" s="70" t="str">
        <f>IF(OR('_MB Analysis'!$I$25&lt;&gt;"OK",COUNT($G$16)&lt;&gt;1,$G$16&lt;0),"",Z4)</f>
        <v/>
      </c>
      <c r="AB6" s="70" t="str">
        <f>IF(OR('_MB Analysis'!$I$25&lt;&gt;"OK",COUNT($G$16)&lt;&gt;1,$G$16&lt;0),"",Y4)</f>
        <v/>
      </c>
      <c r="AC6" s="70" t="str">
        <f>IF(OR('_MB Analysis'!$I$25&lt;&gt;"OK",COUNT($G$16)&lt;&gt;1,$G$16&lt;0),"",IF(C42=0,"",C42&amp;"T"&amp;D42))</f>
        <v/>
      </c>
      <c r="AD6" s="70" t="str">
        <f>IF(OR('_MB Analysis'!$I$25&lt;&gt;"OK",COUNT($G$16)&lt;&gt;1,$G$16&lt;0),"",AX2)</f>
        <v/>
      </c>
      <c r="AE6" s="70" t="str">
        <f>IF(OR('_MB Analysis'!$I$25&lt;&gt;"OK",COUNT($G$16)&lt;&gt;1,$G$16&lt;0),"",AD6)</f>
        <v/>
      </c>
      <c r="AH6" s="70" t="str">
        <f>IF(OR('_MB Analysis'!$I$25&lt;&gt;"OK",COUNT($G$16)&lt;&gt;1,$G$16&lt;0),"",IF(C46=0,"",C46&amp;"T"&amp;D46))</f>
        <v/>
      </c>
      <c r="AI6" s="70" t="str">
        <f>IF(OR('_MB Analysis'!$I$25&lt;&gt;"OK",COUNT($G$16)&lt;&gt;1,$G$16&lt;0),"",BJ2)</f>
        <v/>
      </c>
      <c r="AJ6" s="70" t="str">
        <f>IF(OR('_MB Analysis'!$I$25&lt;&gt;"OK",COUNT($G$16)&lt;&gt;1,$G$16&lt;0),"",AI6)</f>
        <v/>
      </c>
      <c r="AK6" s="74">
        <v>0</v>
      </c>
      <c r="AL6" s="70" t="str">
        <f>IF(OR('_MB Analysis'!$I$25&lt;&gt;"OK",COUNT($G$16)&lt;&gt;1,$G$16&lt;0),"",G16)</f>
        <v/>
      </c>
      <c r="AM6" s="70" t="str">
        <f>IF(OR('_MB Analysis'!$I$25&lt;&gt;"OK",COUNT($G$16)&lt;&gt;1,$G$16&lt;0),"",MAX(BD16,BG16,BJ16,BM16))</f>
        <v/>
      </c>
      <c r="AN6" s="73" t="str">
        <f>IF(OR('_MB Analysis'!$I$25&lt;&gt;"OK",COUNT($G$16)&lt;&gt;1,$G$16&lt;0),"",$AC$15)</f>
        <v/>
      </c>
      <c r="AR6" s="269" t="str">
        <f>IF(OR('_MB Analysis'!$I$25&lt;&gt;"OK",COUNT($G$16)&lt;&gt;1,$G$16&lt;0),"",IF(AS6&lt;&gt;$G$16,$AR$2,$G$16))</f>
        <v/>
      </c>
      <c r="AS6" s="70" t="str">
        <f>IF(OR('_MB Analysis'!$I$25&lt;&gt;"OK",COUNT($G$16)&lt;&gt;1,$G$16&lt;0),"",IF(AS5=$G$16,$G$16,IF(AS5+$AT$2&gt;$AC$15,$G$16,AS5+$AT$2)))</f>
        <v/>
      </c>
      <c r="AU6" s="70" t="str">
        <f>IF(OR('_MB Analysis'!$I$25&lt;&gt;"OK",COUNT($G$16)&lt;&gt;1,$G$16&lt;0),"",IF(AV6&lt;&gt;$G$16,$AU$2,$G$16))</f>
        <v/>
      </c>
      <c r="AV6" s="70" t="str">
        <f>IF(OR('_MB Analysis'!$I$25&lt;&gt;"OK",COUNT($G$16)&lt;&gt;1,$G$16&lt;0),"",IF(AV5=$G$16,$G$16,IF(AV5+$AW$2&gt;$AC$15,$G$16,AV5+$AW$2)))</f>
        <v/>
      </c>
      <c r="AX6" s="70" t="str">
        <f>IF(OR('_MB Analysis'!$I$25&lt;&gt;"OK",COUNT($G$16)&lt;&gt;1,$G$16&lt;0),"",IF(AY6&lt;&gt;$G$16,$AX$2,$G$16))</f>
        <v/>
      </c>
      <c r="AY6" s="70" t="str">
        <f>IF(OR('_MB Analysis'!$I$25&lt;&gt;"OK",COUNT($G$16)&lt;&gt;1,$G$16&lt;0),"",IF(AY5=$G$16,$G$16,IF(AY5+$AZ$2&gt;$AC$15,$G$16,AY5+$AZ$2)))</f>
        <v/>
      </c>
      <c r="BA6" s="70" t="str">
        <f>IF(OR('_MB Analysis'!$I$25&lt;&gt;"OK",COUNT($G$16)&lt;&gt;1,$G$16&lt;0),"",IF(BB6&lt;&gt;$G$16,$BA$2,$G$16))</f>
        <v/>
      </c>
      <c r="BB6" s="70" t="str">
        <f>IF(OR('_MB Analysis'!$I$25&lt;&gt;"OK",COUNT($G$16)&lt;&gt;1,$G$16&lt;0),"",IF(BB5=$G$16,$G$16,IF(BB5+$BC$2&gt;$AC$15,$G$16,BB5+$BC$2)))</f>
        <v/>
      </c>
      <c r="BC6" s="73"/>
      <c r="BD6" s="269" t="str">
        <f>IF(OR('_MB Analysis'!$I$25&lt;&gt;"OK",COUNT($G$16)&lt;&gt;1,$G$16&lt;0),"",IF(BE6&lt;&gt;$G$16,$BD$2,$G$16))</f>
        <v/>
      </c>
      <c r="BE6" s="70" t="str">
        <f>IF(OR('_MB Analysis'!$I$25&lt;&gt;"OK",COUNT($G$16)&lt;&gt;1,$G$16&lt;0),"",IF(BE5=$G$16,$G$16,IF(BE5+$BF$2&gt;$AC$15,$G$16,BE5+$BF$2)))</f>
        <v/>
      </c>
      <c r="BG6" s="70" t="str">
        <f>IF(OR('_MB Analysis'!$I$25&lt;&gt;"OK",COUNT($G$16)&lt;&gt;1,$G$16&lt;0),"",IF(BH6&lt;&gt;$G$16,$BG$2,$G$16))</f>
        <v/>
      </c>
      <c r="BH6" s="70" t="str">
        <f>IF(OR('_MB Analysis'!$I$25&lt;&gt;"OK",COUNT($G$16)&lt;&gt;1,$G$16&lt;0),"",IF(BH5=$G$16,$G$16,IF(BH5+$BI$2&gt;$AC$15,$G$16,BH5+$BI$2)))</f>
        <v/>
      </c>
      <c r="BJ6" s="70" t="str">
        <f>IF(OR('_MB Analysis'!$I$25&lt;&gt;"OK",COUNT($G$16)&lt;&gt;1,$G$16&lt;0),"",IF(BK6&lt;&gt;$G$16,$BJ$2,$G$16))</f>
        <v/>
      </c>
      <c r="BK6" s="70" t="str">
        <f>IF(OR('_MB Analysis'!$I$25&lt;&gt;"OK",COUNT($G$16)&lt;&gt;1,$G$16&lt;0),"",IF(BK5=$G$16,$G$16,IF(BK5+$BL$2&gt;$AC$15,$G$16,BK5+$BL$2)))</f>
        <v/>
      </c>
      <c r="BM6" s="70" t="str">
        <f>IF(OR('_MB Analysis'!$I$25&lt;&gt;"OK",COUNT($G$16)&lt;&gt;1,$G$16&lt;0),"",IF(BN6&lt;&gt;$G$16,$BM$2,$G$16))</f>
        <v/>
      </c>
      <c r="BN6" s="70" t="str">
        <f>IF(OR('_MB Analysis'!$I$25&lt;&gt;"OK",COUNT($G$16)&lt;&gt;1,$G$16&lt;0),"",IF(BN5=$G$16,$G$16,IF(BN5+$BO$2&gt;$AC$15,$G$16,BN5+$BO$2)))</f>
        <v/>
      </c>
      <c r="BO6" s="73"/>
    </row>
    <row r="7" spans="1:85" ht="7.95" customHeight="1">
      <c r="A7" s="116"/>
      <c r="B7" s="138"/>
      <c r="C7" s="138"/>
      <c r="D7" s="138"/>
      <c r="E7" s="138"/>
      <c r="F7" s="138"/>
      <c r="G7" s="138"/>
      <c r="H7" s="138"/>
      <c r="I7" s="138"/>
      <c r="J7" s="138"/>
      <c r="K7" s="138"/>
      <c r="L7" s="138"/>
      <c r="M7" s="138"/>
      <c r="N7" s="138"/>
      <c r="O7" s="116"/>
      <c r="AA7" s="70" t="str">
        <f>IF(OR('_MB Analysis'!$I$25&lt;&gt;"OK",COUNT($G$16)&lt;&gt;1,$G$16&lt;0),"",Z4)</f>
        <v/>
      </c>
      <c r="AB7" s="70">
        <v>0</v>
      </c>
      <c r="AC7" s="70" t="str">
        <f>IF(OR('_MB Analysis'!$I$25&lt;&gt;"OK",COUNT($G$16)&lt;&gt;1,$G$16&lt;0),"",IF(C43=0,"",C43&amp;"T"&amp;D43))</f>
        <v/>
      </c>
      <c r="AD7" s="70" t="str">
        <f>IF(OR('_MB Analysis'!$I$25&lt;&gt;"OK",COUNT($G$16)&lt;&gt;1,$G$16&lt;0),"",BA2)</f>
        <v/>
      </c>
      <c r="AE7" s="70" t="str">
        <f>IF(OR('_MB Analysis'!$I$25&lt;&gt;"OK",COUNT($G$16)&lt;&gt;1,$G$16&lt;0),"",AD7)</f>
        <v/>
      </c>
      <c r="AH7" s="70" t="str">
        <f>IF(OR('_MB Analysis'!$I$25&lt;&gt;"OK",COUNT($G$16)&lt;&gt;1,$G$16&lt;0),"",IF(C47=0,"",C47&amp;"T"&amp;D47))</f>
        <v/>
      </c>
      <c r="AI7" s="70" t="str">
        <f>IF(OR('_MB Analysis'!$I$25&lt;&gt;"OK",COUNT($G$16)&lt;&gt;1,$G$16&lt;0),"",BM2)</f>
        <v/>
      </c>
      <c r="AJ7" s="70" t="str">
        <f>IF(OR('_MB Analysis'!$I$25&lt;&gt;"OK",COUNT($G$16)&lt;&gt;1,$G$16&lt;0),"",AI7)</f>
        <v/>
      </c>
      <c r="AK7" s="74">
        <v>1</v>
      </c>
      <c r="AL7" s="70" t="str">
        <f>IF(OR('_MB Analysis'!$I$25&lt;&gt;"OK",COUNT($G$16)&lt;&gt;1,$G$16&lt;0),"",AL6)</f>
        <v/>
      </c>
      <c r="AM7" s="70" t="str">
        <f>IF(OR('_MB Analysis'!$I$25&lt;&gt;"OK",COUNT($G$16)&lt;&gt;1,$G$16&lt;0),"",IF($AL$3="",$AM$6,IF(AM6+$AL$3&gt;$AM$2,$AM$6,AM6+$AL$3)))</f>
        <v/>
      </c>
      <c r="AN7" s="73" t="str">
        <f>IF(OR('_MB Analysis'!$I$25&lt;&gt;"OK",COUNT($G$16)&lt;&gt;1,$G$16&lt;0),"",$AC$15)</f>
        <v/>
      </c>
      <c r="AR7" s="269" t="str">
        <f>IF(OR('_MB Analysis'!$I$25&lt;&gt;"OK",COUNT($G$16)&lt;&gt;1,$G$16&lt;0),"",IF(AS7&lt;&gt;$G$16,$AR$2,$G$16))</f>
        <v/>
      </c>
      <c r="AS7" s="70" t="str">
        <f>IF(OR('_MB Analysis'!$I$25&lt;&gt;"OK",COUNT($G$16)&lt;&gt;1,$G$16&lt;0),"",IF(AS6=$G$16,$G$16,IF(AS6+$AT$2&gt;$AC$15,$G$16,AS6+$AT$2)))</f>
        <v/>
      </c>
      <c r="AU7" s="70" t="str">
        <f>IF(OR('_MB Analysis'!$I$25&lt;&gt;"OK",COUNT($G$16)&lt;&gt;1,$G$16&lt;0),"",IF(AV7&lt;&gt;$G$16,$AU$2,$G$16))</f>
        <v/>
      </c>
      <c r="AV7" s="70" t="str">
        <f>IF(OR('_MB Analysis'!$I$25&lt;&gt;"OK",COUNT($G$16)&lt;&gt;1,$G$16&lt;0),"",IF(AV6=$G$16,$G$16,IF(AV6+$AW$2&gt;$AC$15,$G$16,AV6+$AW$2)))</f>
        <v/>
      </c>
      <c r="AX7" s="70" t="str">
        <f>IF(OR('_MB Analysis'!$I$25&lt;&gt;"OK",COUNT($G$16)&lt;&gt;1,$G$16&lt;0),"",IF(AY7&lt;&gt;$G$16,$AX$2,$G$16))</f>
        <v/>
      </c>
      <c r="AY7" s="70" t="str">
        <f>IF(OR('_MB Analysis'!$I$25&lt;&gt;"OK",COUNT($G$16)&lt;&gt;1,$G$16&lt;0),"",IF(AY6=$G$16,$G$16,IF(AY6+$AZ$2&gt;$AC$15,$G$16,AY6+$AZ$2)))</f>
        <v/>
      </c>
      <c r="BA7" s="70" t="str">
        <f>IF(OR('_MB Analysis'!$I$25&lt;&gt;"OK",COUNT($G$16)&lt;&gt;1,$G$16&lt;0),"",IF(BB7&lt;&gt;$G$16,$BA$2,$G$16))</f>
        <v/>
      </c>
      <c r="BB7" s="70" t="str">
        <f>IF(OR('_MB Analysis'!$I$25&lt;&gt;"OK",COUNT($G$16)&lt;&gt;1,$G$16&lt;0),"",IF(BB6=$G$16,$G$16,IF(BB6+$BC$2&gt;$AC$15,$G$16,BB6+$BC$2)))</f>
        <v/>
      </c>
      <c r="BC7" s="73"/>
      <c r="BD7" s="269" t="str">
        <f>IF(OR('_MB Analysis'!$I$25&lt;&gt;"OK",COUNT($G$16)&lt;&gt;1,$G$16&lt;0),"",IF(BE7&lt;&gt;$G$16,$BD$2,$G$16))</f>
        <v/>
      </c>
      <c r="BE7" s="70" t="str">
        <f>IF(OR('_MB Analysis'!$I$25&lt;&gt;"OK",COUNT($G$16)&lt;&gt;1,$G$16&lt;0),"",IF(BE6=$G$16,$G$16,IF(BE6+$BF$2&gt;$AC$15,$G$16,BE6+$BF$2)))</f>
        <v/>
      </c>
      <c r="BG7" s="70" t="str">
        <f>IF(OR('_MB Analysis'!$I$25&lt;&gt;"OK",COUNT($G$16)&lt;&gt;1,$G$16&lt;0),"",IF(BH7&lt;&gt;$G$16,$BG$2,$G$16))</f>
        <v/>
      </c>
      <c r="BH7" s="70" t="str">
        <f>IF(OR('_MB Analysis'!$I$25&lt;&gt;"OK",COUNT($G$16)&lt;&gt;1,$G$16&lt;0),"",IF(BH6=$G$16,$G$16,IF(BH6+$BI$2&gt;$AC$15,$G$16,BH6+$BI$2)))</f>
        <v/>
      </c>
      <c r="BJ7" s="70" t="str">
        <f>IF(OR('_MB Analysis'!$I$25&lt;&gt;"OK",COUNT($G$16)&lt;&gt;1,$G$16&lt;0),"",IF(BK7&lt;&gt;$G$16,$BJ$2,$G$16))</f>
        <v/>
      </c>
      <c r="BK7" s="70" t="str">
        <f>IF(OR('_MB Analysis'!$I$25&lt;&gt;"OK",COUNT($G$16)&lt;&gt;1,$G$16&lt;0),"",IF(BK6=$G$16,$G$16,IF(BK6+$BL$2&gt;$AC$15,$G$16,BK6+$BL$2)))</f>
        <v/>
      </c>
      <c r="BM7" s="70" t="str">
        <f>IF(OR('_MB Analysis'!$I$25&lt;&gt;"OK",COUNT($G$16)&lt;&gt;1,$G$16&lt;0),"",IF(BN7&lt;&gt;$G$16,$BM$2,$G$16))</f>
        <v/>
      </c>
      <c r="BN7" s="70" t="str">
        <f>IF(OR('_MB Analysis'!$I$25&lt;&gt;"OK",COUNT($G$16)&lt;&gt;1,$G$16&lt;0),"",IF(BN6=$G$16,$G$16,IF(BN6+$BO$2&gt;$AC$15,$G$16,BN6+$BO$2)))</f>
        <v/>
      </c>
      <c r="BO7" s="73"/>
    </row>
    <row r="8" spans="1:85" s="76" customFormat="1" ht="19.5" customHeight="1">
      <c r="A8" s="132"/>
      <c r="B8"/>
      <c r="C8"/>
      <c r="D8"/>
      <c r="E8"/>
      <c r="F8"/>
      <c r="G8"/>
      <c r="H8"/>
      <c r="I8"/>
      <c r="J8"/>
      <c r="K8"/>
      <c r="L8"/>
      <c r="M8"/>
      <c r="N8"/>
      <c r="O8" s="132"/>
      <c r="R8" s="71"/>
      <c r="S8" s="77" t="s">
        <v>566</v>
      </c>
      <c r="T8" s="309">
        <v>40</v>
      </c>
      <c r="Y8" s="70"/>
      <c r="Z8" s="70"/>
      <c r="AA8" s="70">
        <v>0</v>
      </c>
      <c r="AB8" s="70">
        <v>0</v>
      </c>
      <c r="AC8" s="70"/>
      <c r="AD8" s="70"/>
      <c r="AE8" s="70"/>
      <c r="AF8" s="70"/>
      <c r="AG8" s="70"/>
      <c r="AH8" s="70"/>
      <c r="AI8" s="70"/>
      <c r="AJ8" s="70"/>
      <c r="AK8" s="74">
        <v>2</v>
      </c>
      <c r="AL8" s="70" t="str">
        <f>IF(OR('_MB Analysis'!$I$25&lt;&gt;"OK",COUNT($G$16)&lt;&gt;1,$G$16&lt;0),"",AL7)</f>
        <v/>
      </c>
      <c r="AM8" s="70" t="str">
        <f>IF(OR('_MB Analysis'!$I$25&lt;&gt;"OK",COUNT($G$16)&lt;&gt;1,$G$16&lt;0),"",IF($AL$3="",$AM$6,IF(AM7+$AL$3&gt;$AM$2,$AM$6,AM7+$AL$3)))</f>
        <v/>
      </c>
      <c r="AN8" s="73" t="str">
        <f>IF(OR('_MB Analysis'!$I$25&lt;&gt;"OK",COUNT($G$16)&lt;&gt;1,$G$16&lt;0),"",$AC$15)</f>
        <v/>
      </c>
      <c r="AO8" s="70"/>
      <c r="AR8" s="269" t="str">
        <f>IF(OR('_MB Analysis'!$I$25&lt;&gt;"OK",COUNT($G$16)&lt;&gt;1,$G$16&lt;0),"",IF(AS8&lt;&gt;$G$16,$AR$2,$G$16))</f>
        <v/>
      </c>
      <c r="AS8" s="70" t="str">
        <f>IF(OR('_MB Analysis'!$I$25&lt;&gt;"OK",COUNT($G$16)&lt;&gt;1,$G$16&lt;0),"",IF(AS7=$G$16,$G$16,IF(AS7+$AT$2&gt;$AC$15,$G$16,AS7+$AT$2)))</f>
        <v/>
      </c>
      <c r="AT8" s="70"/>
      <c r="AU8" s="70" t="str">
        <f>IF(OR('_MB Analysis'!$I$25&lt;&gt;"OK",COUNT($G$16)&lt;&gt;1,$G$16&lt;0),"",IF(AV8&lt;&gt;$G$16,$AU$2,$G$16))</f>
        <v/>
      </c>
      <c r="AV8" s="70" t="str">
        <f>IF(OR('_MB Analysis'!$I$25&lt;&gt;"OK",COUNT($G$16)&lt;&gt;1,$G$16&lt;0),"",IF(AV7=$G$16,$G$16,IF(AV7+$AW$2&gt;$AC$15,$G$16,AV7+$AW$2)))</f>
        <v/>
      </c>
      <c r="AW8" s="70"/>
      <c r="AX8" s="70" t="str">
        <f>IF(OR('_MB Analysis'!$I$25&lt;&gt;"OK",COUNT($G$16)&lt;&gt;1,$G$16&lt;0),"",IF(AY8&lt;&gt;$G$16,$AX$2,$G$16))</f>
        <v/>
      </c>
      <c r="AY8" s="70" t="str">
        <f>IF(OR('_MB Analysis'!$I$25&lt;&gt;"OK",COUNT($G$16)&lt;&gt;1,$G$16&lt;0),"",IF(AY7=$G$16,$G$16,IF(AY7+$AZ$2&gt;$AC$15,$G$16,AY7+$AZ$2)))</f>
        <v/>
      </c>
      <c r="AZ8" s="70"/>
      <c r="BA8" s="70" t="str">
        <f>IF(OR('_MB Analysis'!$I$25&lt;&gt;"OK",COUNT($G$16)&lt;&gt;1,$G$16&lt;0),"",IF(BB8&lt;&gt;$G$16,$BA$2,$G$16))</f>
        <v/>
      </c>
      <c r="BB8" s="70" t="str">
        <f>IF(OR('_MB Analysis'!$I$25&lt;&gt;"OK",COUNT($G$16)&lt;&gt;1,$G$16&lt;0),"",IF(BB7=$G$16,$G$16,IF(BB7+$BC$2&gt;$AC$15,$G$16,BB7+$BC$2)))</f>
        <v/>
      </c>
      <c r="BC8" s="73"/>
      <c r="BD8" s="269" t="str">
        <f>IF(OR('_MB Analysis'!$I$25&lt;&gt;"OK",COUNT($G$16)&lt;&gt;1,$G$16&lt;0),"",IF(BE8&lt;&gt;$G$16,$BD$2,$G$16))</f>
        <v/>
      </c>
      <c r="BE8" s="70" t="str">
        <f>IF(OR('_MB Analysis'!$I$25&lt;&gt;"OK",COUNT($G$16)&lt;&gt;1,$G$16&lt;0),"",IF(BE7=$G$16,$G$16,IF(BE7+$BF$2&gt;$AC$15,$G$16,BE7+$BF$2)))</f>
        <v/>
      </c>
      <c r="BF8" s="70"/>
      <c r="BG8" s="70" t="str">
        <f>IF(OR('_MB Analysis'!$I$25&lt;&gt;"OK",COUNT($G$16)&lt;&gt;1,$G$16&lt;0),"",IF(BH8&lt;&gt;$G$16,$BG$2,$G$16))</f>
        <v/>
      </c>
      <c r="BH8" s="70" t="str">
        <f>IF(OR('_MB Analysis'!$I$25&lt;&gt;"OK",COUNT($G$16)&lt;&gt;1,$G$16&lt;0),"",IF(BH7=$G$16,$G$16,IF(BH7+$BI$2&gt;$AC$15,$G$16,BH7+$BI$2)))</f>
        <v/>
      </c>
      <c r="BI8" s="70"/>
      <c r="BJ8" s="70" t="str">
        <f>IF(OR('_MB Analysis'!$I$25&lt;&gt;"OK",COUNT($G$16)&lt;&gt;1,$G$16&lt;0),"",IF(BK8&lt;&gt;$G$16,$BJ$2,$G$16))</f>
        <v/>
      </c>
      <c r="BK8" s="70" t="str">
        <f>IF(OR('_MB Analysis'!$I$25&lt;&gt;"OK",COUNT($G$16)&lt;&gt;1,$G$16&lt;0),"",IF(BK7=$G$16,$G$16,IF(BK7+$BL$2&gt;$AC$15,$G$16,BK7+$BL$2)))</f>
        <v/>
      </c>
      <c r="BL8" s="70"/>
      <c r="BM8" s="70" t="str">
        <f>IF(OR('_MB Analysis'!$I$25&lt;&gt;"OK",COUNT($G$16)&lt;&gt;1,$G$16&lt;0),"",IF(BN8&lt;&gt;$G$16,$BM$2,$G$16))</f>
        <v/>
      </c>
      <c r="BN8" s="70" t="str">
        <f>IF(OR('_MB Analysis'!$I$25&lt;&gt;"OK",COUNT($G$16)&lt;&gt;1,$G$16&lt;0),"",IF(BN7=$G$16,$G$16,IF(BN7+$BO$2&gt;$AC$15,$G$16,BN7+$BO$2)))</f>
        <v/>
      </c>
      <c r="BO8" s="73"/>
      <c r="BP8" s="70"/>
      <c r="BQ8" s="70"/>
    </row>
    <row r="9" spans="1:85" s="76" customFormat="1" ht="19.5" customHeight="1">
      <c r="A9" s="132"/>
      <c r="B9" s="271" t="s">
        <v>567</v>
      </c>
      <c r="C9" s="518" t="str">
        <f>'_Input Engine'!F3</f>
        <v>MB1</v>
      </c>
      <c r="D9" s="519"/>
      <c r="E9" s="519"/>
      <c r="F9" s="519"/>
      <c r="G9" s="519"/>
      <c r="H9" s="519"/>
      <c r="I9" s="519"/>
      <c r="J9" s="519"/>
      <c r="K9" s="519"/>
      <c r="L9" s="519"/>
      <c r="M9" s="519"/>
      <c r="N9" s="519"/>
      <c r="O9" s="132"/>
      <c r="R9" s="71"/>
      <c r="S9" s="77" t="s">
        <v>568</v>
      </c>
      <c r="T9" s="310">
        <v>250</v>
      </c>
      <c r="AK9" s="74">
        <v>3</v>
      </c>
      <c r="AL9" s="70" t="str">
        <f>IF(OR('_MB Analysis'!$I$25&lt;&gt;"OK",COUNT($G$16)&lt;&gt;1,$G$16&lt;0),"",AL8)</f>
        <v/>
      </c>
      <c r="AM9" s="70" t="str">
        <f>IF(OR('_MB Analysis'!$I$25&lt;&gt;"OK",COUNT($G$16)&lt;&gt;1,$G$16&lt;0),"",IF($AL$3="",$AM$6,IF(AM8+$AL$3&gt;$AM$2,$AM$6,AM8+$AL$3)))</f>
        <v/>
      </c>
      <c r="AN9" s="73" t="str">
        <f>IF(OR('_MB Analysis'!$I$25&lt;&gt;"OK",COUNT($G$16)&lt;&gt;1,$G$16&lt;0),"",$AC$15)</f>
        <v/>
      </c>
      <c r="AO9" s="70"/>
      <c r="AR9" s="269" t="str">
        <f>IF(OR('_MB Analysis'!$I$25&lt;&gt;"OK",COUNT($G$16)&lt;&gt;1,$G$16&lt;0),"",IF(AS9&lt;&gt;$G$16,$AR$2,$G$16))</f>
        <v/>
      </c>
      <c r="AS9" s="70" t="str">
        <f>IF(OR('_MB Analysis'!$I$25&lt;&gt;"OK",COUNT($G$16)&lt;&gt;1,$G$16&lt;0),"",IF(AS8=$G$16,$G$16,IF(AS8+$AT$2&gt;$AC$15,$G$16,AS8+$AT$2)))</f>
        <v/>
      </c>
      <c r="AT9" s="70"/>
      <c r="AU9" s="70" t="str">
        <f>IF(OR('_MB Analysis'!$I$25&lt;&gt;"OK",COUNT($G$16)&lt;&gt;1,$G$16&lt;0),"",IF(AV9&lt;&gt;$G$16,$AU$2,$G$16))</f>
        <v/>
      </c>
      <c r="AV9" s="70" t="str">
        <f>IF(OR('_MB Analysis'!$I$25&lt;&gt;"OK",COUNT($G$16)&lt;&gt;1,$G$16&lt;0),"",IF(AV8=$G$16,$G$16,IF(AV8+$AW$2&gt;$AC$15,$G$16,AV8+$AW$2)))</f>
        <v/>
      </c>
      <c r="AW9" s="70"/>
      <c r="AX9" s="70" t="str">
        <f>IF(OR('_MB Analysis'!$I$25&lt;&gt;"OK",COUNT($G$16)&lt;&gt;1,$G$16&lt;0),"",IF(AY9&lt;&gt;$G$16,$AX$2,$G$16))</f>
        <v/>
      </c>
      <c r="AY9" s="70" t="str">
        <f>IF(OR('_MB Analysis'!$I$25&lt;&gt;"OK",COUNT($G$16)&lt;&gt;1,$G$16&lt;0),"",IF(AY8=$G$16,$G$16,IF(AY8+$AZ$2&gt;$AC$15,$G$16,AY8+$AZ$2)))</f>
        <v/>
      </c>
      <c r="AZ9" s="70"/>
      <c r="BA9" s="70" t="str">
        <f>IF(OR('_MB Analysis'!$I$25&lt;&gt;"OK",COUNT($G$16)&lt;&gt;1,$G$16&lt;0),"",IF(BB9&lt;&gt;$G$16,$BA$2,$G$16))</f>
        <v/>
      </c>
      <c r="BB9" s="70" t="str">
        <f>IF(OR('_MB Analysis'!$I$25&lt;&gt;"OK",COUNT($G$16)&lt;&gt;1,$G$16&lt;0),"",IF(BB8=$G$16,$G$16,IF(BB8+$BC$2&gt;$AC$15,$G$16,BB8+$BC$2)))</f>
        <v/>
      </c>
      <c r="BC9" s="73"/>
      <c r="BD9" s="269" t="str">
        <f>IF(OR('_MB Analysis'!$I$25&lt;&gt;"OK",COUNT($G$16)&lt;&gt;1,$G$16&lt;0),"",IF(BE9&lt;&gt;$G$16,$BD$2,$G$16))</f>
        <v/>
      </c>
      <c r="BE9" s="70" t="str">
        <f>IF(OR('_MB Analysis'!$I$25&lt;&gt;"OK",COUNT($G$16)&lt;&gt;1,$G$16&lt;0),"",IF(BE8=$G$16,$G$16,IF(BE8+$BF$2&gt;$AC$15,$G$16,BE8+$BF$2)))</f>
        <v/>
      </c>
      <c r="BF9" s="70"/>
      <c r="BG9" s="70" t="str">
        <f>IF(OR('_MB Analysis'!$I$25&lt;&gt;"OK",COUNT($G$16)&lt;&gt;1,$G$16&lt;0),"",IF(BH9&lt;&gt;$G$16,$BG$2,$G$16))</f>
        <v/>
      </c>
      <c r="BH9" s="70" t="str">
        <f>IF(OR('_MB Analysis'!$I$25&lt;&gt;"OK",COUNT($G$16)&lt;&gt;1,$G$16&lt;0),"",IF(BH8=$G$16,$G$16,IF(BH8+$BI$2&gt;$AC$15,$G$16,BH8+$BI$2)))</f>
        <v/>
      </c>
      <c r="BI9" s="70"/>
      <c r="BJ9" s="70" t="str">
        <f>IF(OR('_MB Analysis'!$I$25&lt;&gt;"OK",COUNT($G$16)&lt;&gt;1,$G$16&lt;0),"",IF(BK9&lt;&gt;$G$16,$BJ$2,$G$16))</f>
        <v/>
      </c>
      <c r="BK9" s="70" t="str">
        <f>IF(OR('_MB Analysis'!$I$25&lt;&gt;"OK",COUNT($G$16)&lt;&gt;1,$G$16&lt;0),"",IF(BK8=$G$16,$G$16,IF(BK8+$BL$2&gt;$AC$15,$G$16,BK8+$BL$2)))</f>
        <v/>
      </c>
      <c r="BL9" s="70"/>
      <c r="BM9" s="70" t="str">
        <f>IF(OR('_MB Analysis'!$I$25&lt;&gt;"OK",COUNT($G$16)&lt;&gt;1,$G$16&lt;0),"",IF(BN9&lt;&gt;$G$16,$BM$2,$G$16))</f>
        <v/>
      </c>
      <c r="BN9" s="70" t="str">
        <f>IF(OR('_MB Analysis'!$I$25&lt;&gt;"OK",COUNT($G$16)&lt;&gt;1,$G$16&lt;0),"",IF(BN8=$G$16,$G$16,IF(BN8+$BO$2&gt;$AC$15,$G$16,BN8+$BO$2)))</f>
        <v/>
      </c>
      <c r="BO9" s="73"/>
      <c r="BP9" s="70"/>
      <c r="BQ9" s="70"/>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S10" s="77" t="s">
        <v>569</v>
      </c>
      <c r="T10" s="310">
        <v>150</v>
      </c>
      <c r="AE10" s="70" t="str">
        <f>IF(OR('_MB Analysis'!$I$25&lt;&gt;"OK",COUNT($G$16)&lt;&gt;1,$G$16&lt;0),"",AF10)</f>
        <v/>
      </c>
      <c r="AF10" s="70" t="str">
        <f>IF(OR('_MB Analysis'!$I$25&lt;&gt;"OK",COUNT($G$16)&lt;&gt;1,$G$16&lt;0),"",2*G16)</f>
        <v/>
      </c>
      <c r="AK10" s="74">
        <v>4</v>
      </c>
      <c r="AL10" s="70" t="str">
        <f>IF(OR('_MB Analysis'!$I$25&lt;&gt;"OK",COUNT($G$16)&lt;&gt;1,$G$16&lt;0),"",AL9)</f>
        <v/>
      </c>
      <c r="AM10" s="70" t="str">
        <f>IF(OR('_MB Analysis'!$I$25&lt;&gt;"OK",COUNT($G$16)&lt;&gt;1,$G$16&lt;0),"",IF($AL$3="",$AM$6,IF(AM9+$AL$3&gt;$AM$2,$AM$6,AM9+$AL$3)))</f>
        <v/>
      </c>
      <c r="AN10" s="73" t="str">
        <f>IF(OR('_MB Analysis'!$I$25&lt;&gt;"OK",COUNT($G$16)&lt;&gt;1,$G$16&lt;0),"",$AC$15)</f>
        <v/>
      </c>
      <c r="AR10" s="269" t="str">
        <f>IF(OR('_MB Analysis'!$I$25&lt;&gt;"OK",COUNT($G$16)&lt;&gt;1,$G$16&lt;0),"",IF(AS10&lt;&gt;$G$16,$AR$2,$G$16))</f>
        <v/>
      </c>
      <c r="AS10" s="70" t="str">
        <f>IF(OR('_MB Analysis'!$I$25&lt;&gt;"OK",COUNT($G$16)&lt;&gt;1,$G$16&lt;0),"",IF(AS9=$G$16,$G$16,IF(AS9+$AT$2&gt;$AC$15,$G$16,AS9+$AT$2)))</f>
        <v/>
      </c>
      <c r="AU10" s="70" t="str">
        <f>IF(OR('_MB Analysis'!$I$25&lt;&gt;"OK",COUNT($G$16)&lt;&gt;1,$G$16&lt;0),"",IF(AV10&lt;&gt;$G$16,$AU$2,$G$16))</f>
        <v/>
      </c>
      <c r="AV10" s="70" t="str">
        <f>IF(OR('_MB Analysis'!$I$25&lt;&gt;"OK",COUNT($G$16)&lt;&gt;1,$G$16&lt;0),"",IF(AV9=$G$16,$G$16,IF(AV9+$AW$2&gt;$AC$15,$G$16,AV9+$AW$2)))</f>
        <v/>
      </c>
      <c r="AX10" s="70" t="str">
        <f>IF(OR('_MB Analysis'!$I$25&lt;&gt;"OK",COUNT($G$16)&lt;&gt;1,$G$16&lt;0),"",IF(AY10&lt;&gt;$G$16,$AX$2,$G$16))</f>
        <v/>
      </c>
      <c r="AY10" s="70" t="str">
        <f>IF(OR('_MB Analysis'!$I$25&lt;&gt;"OK",COUNT($G$16)&lt;&gt;1,$G$16&lt;0),"",IF(AY9=$G$16,$G$16,IF(AY9+$AZ$2&gt;$AC$15,$G$16,AY9+$AZ$2)))</f>
        <v/>
      </c>
      <c r="BA10" s="70" t="str">
        <f>IF(OR('_MB Analysis'!$I$25&lt;&gt;"OK",COUNT($G$16)&lt;&gt;1,$G$16&lt;0),"",IF(BB10&lt;&gt;$G$16,$BA$2,$G$16))</f>
        <v/>
      </c>
      <c r="BB10" s="70" t="str">
        <f>IF(OR('_MB Analysis'!$I$25&lt;&gt;"OK",COUNT($G$16)&lt;&gt;1,$G$16&lt;0),"",IF(BB9=$G$16,$G$16,IF(BB9+$BC$2&gt;$AC$15,$G$16,BB9+$BC$2)))</f>
        <v/>
      </c>
      <c r="BC10" s="73"/>
      <c r="BD10" s="269" t="str">
        <f>IF(OR('_MB Analysis'!$I$25&lt;&gt;"OK",COUNT($G$16)&lt;&gt;1,$G$16&lt;0),"",IF(BE10&lt;&gt;$G$16,$BD$2,$G$16))</f>
        <v/>
      </c>
      <c r="BE10" s="70" t="str">
        <f>IF(OR('_MB Analysis'!$I$25&lt;&gt;"OK",COUNT($G$16)&lt;&gt;1,$G$16&lt;0),"",IF(BE9=$G$16,$G$16,IF(BE9+$BF$2&gt;$AC$15,$G$16,BE9+$BF$2)))</f>
        <v/>
      </c>
      <c r="BG10" s="70" t="str">
        <f>IF(OR('_MB Analysis'!$I$25&lt;&gt;"OK",COUNT($G$16)&lt;&gt;1,$G$16&lt;0),"",IF(BH10&lt;&gt;$G$16,$BG$2,$G$16))</f>
        <v/>
      </c>
      <c r="BH10" s="70" t="str">
        <f>IF(OR('_MB Analysis'!$I$25&lt;&gt;"OK",COUNT($G$16)&lt;&gt;1,$G$16&lt;0),"",IF(BH9=$G$16,$G$16,IF(BH9+$BI$2&gt;$AC$15,$G$16,BH9+$BI$2)))</f>
        <v/>
      </c>
      <c r="BJ10" s="70" t="str">
        <f>IF(OR('_MB Analysis'!$I$25&lt;&gt;"OK",COUNT($G$16)&lt;&gt;1,$G$16&lt;0),"",IF(BK10&lt;&gt;$G$16,$BJ$2,$G$16))</f>
        <v/>
      </c>
      <c r="BK10" s="70" t="str">
        <f>IF(OR('_MB Analysis'!$I$25&lt;&gt;"OK",COUNT($G$16)&lt;&gt;1,$G$16&lt;0),"",IF(BK9=$G$16,$G$16,IF(BK9+$BL$2&gt;$AC$15,$G$16,BK9+$BL$2)))</f>
        <v/>
      </c>
      <c r="BM10" s="70" t="str">
        <f>IF(OR('_MB Analysis'!$I$25&lt;&gt;"OK",COUNT($G$16)&lt;&gt;1,$G$16&lt;0),"",IF(BN10&lt;&gt;$G$16,$BM$2,$G$16))</f>
        <v/>
      </c>
      <c r="BN10" s="70" t="str">
        <f>IF(OR('_MB Analysis'!$I$25&lt;&gt;"OK",COUNT($G$16)&lt;&gt;1,$G$16&lt;0),"",IF(BN9=$G$16,$G$16,IF(BN9+$BO$2&gt;$AC$15,$G$16,BN9+$BO$2)))</f>
        <v/>
      </c>
      <c r="BO10" s="73"/>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S11" s="77" t="s">
        <v>570</v>
      </c>
      <c r="T11" s="310">
        <v>4</v>
      </c>
      <c r="AE11" s="70" t="str">
        <f>IF(OR('_MB Analysis'!$I$25&lt;&gt;"OK",COUNT($G$16)&lt;&gt;1,$G$16&lt;0),"",AF10)</f>
        <v/>
      </c>
      <c r="AK11" s="74">
        <v>5</v>
      </c>
      <c r="AL11" s="70" t="str">
        <f>IF(OR('_MB Analysis'!$I$25&lt;&gt;"OK",COUNT($G$16)&lt;&gt;1,$G$16&lt;0),"",AL10)</f>
        <v/>
      </c>
      <c r="AM11" s="70" t="str">
        <f>IF(OR('_MB Analysis'!$I$25&lt;&gt;"OK",COUNT($G$16)&lt;&gt;1,$G$16&lt;0),"",IF($AL$3="",$AM$6,IF(AM10+$AL$3&gt;$AM$2,$AM$6,AM10+$AL$3)))</f>
        <v/>
      </c>
      <c r="AN11" s="73" t="str">
        <f>IF(OR('_MB Analysis'!$I$25&lt;&gt;"OK",COUNT($G$16)&lt;&gt;1,$G$16&lt;0),"",$AC$15)</f>
        <v/>
      </c>
      <c r="AR11" s="269" t="str">
        <f>IF(OR('_MB Analysis'!$I$25&lt;&gt;"OK",COUNT($G$16)&lt;&gt;1,$G$16&lt;0),"",IF(AS11&lt;&gt;$G$16,$AR$2,$G$16))</f>
        <v/>
      </c>
      <c r="AS11" s="70" t="str">
        <f>IF(OR('_MB Analysis'!$I$25&lt;&gt;"OK",COUNT($G$16)&lt;&gt;1,$G$16&lt;0),"",IF(AS10=$G$16,$G$16,IF(AS10+$AT$2&gt;$AC$15,$G$16,AS10+$AT$2)))</f>
        <v/>
      </c>
      <c r="AU11" s="70" t="str">
        <f>IF(OR('_MB Analysis'!$I$25&lt;&gt;"OK",COUNT($G$16)&lt;&gt;1,$G$16&lt;0),"",IF(AV11&lt;&gt;$G$16,$AU$2,$G$16))</f>
        <v/>
      </c>
      <c r="AV11" s="70" t="str">
        <f>IF(OR('_MB Analysis'!$I$25&lt;&gt;"OK",COUNT($G$16)&lt;&gt;1,$G$16&lt;0),"",IF(AV10=$G$16,$G$16,IF(AV10+$AW$2&gt;$AC$15,$G$16,AV10+$AW$2)))</f>
        <v/>
      </c>
      <c r="AX11" s="70" t="str">
        <f>IF(OR('_MB Analysis'!$I$25&lt;&gt;"OK",COUNT($G$16)&lt;&gt;1,$G$16&lt;0),"",IF(AY11&lt;&gt;$G$16,$AX$2,$G$16))</f>
        <v/>
      </c>
      <c r="AY11" s="70" t="str">
        <f>IF(OR('_MB Analysis'!$I$25&lt;&gt;"OK",COUNT($G$16)&lt;&gt;1,$G$16&lt;0),"",IF(AY10=$G$16,$G$16,IF(AY10+$AZ$2&gt;$AC$15,$G$16,AY10+$AZ$2)))</f>
        <v/>
      </c>
      <c r="BA11" s="70" t="str">
        <f>IF(OR('_MB Analysis'!$I$25&lt;&gt;"OK",COUNT($G$16)&lt;&gt;1,$G$16&lt;0),"",IF(BB11&lt;&gt;$G$16,$BA$2,$G$16))</f>
        <v/>
      </c>
      <c r="BB11" s="70" t="str">
        <f>IF(OR('_MB Analysis'!$I$25&lt;&gt;"OK",COUNT($G$16)&lt;&gt;1,$G$16&lt;0),"",IF(BB10=$G$16,$G$16,IF(BB10+$BC$2&gt;$AC$15,$G$16,BB10+$BC$2)))</f>
        <v/>
      </c>
      <c r="BC11" s="73"/>
      <c r="BD11" s="269" t="str">
        <f>IF(OR('_MB Analysis'!$I$25&lt;&gt;"OK",COUNT($G$16)&lt;&gt;1,$G$16&lt;0),"",IF(BE11&lt;&gt;$G$16,$BD$2,$G$16))</f>
        <v/>
      </c>
      <c r="BE11" s="70" t="str">
        <f>IF(OR('_MB Analysis'!$I$25&lt;&gt;"OK",COUNT($G$16)&lt;&gt;1,$G$16&lt;0),"",IF(BE10=$G$16,$G$16,IF(BE10+$BF$2&gt;$AC$15,$G$16,BE10+$BF$2)))</f>
        <v/>
      </c>
      <c r="BG11" s="70" t="str">
        <f>IF(OR('_MB Analysis'!$I$25&lt;&gt;"OK",COUNT($G$16)&lt;&gt;1,$G$16&lt;0),"",IF(BH11&lt;&gt;$G$16,$BG$2,$G$16))</f>
        <v/>
      </c>
      <c r="BH11" s="70" t="str">
        <f>IF(OR('_MB Analysis'!$I$25&lt;&gt;"OK",COUNT($G$16)&lt;&gt;1,$G$16&lt;0),"",IF(BH10=$G$16,$G$16,IF(BH10+$BI$2&gt;$AC$15,$G$16,BH10+$BI$2)))</f>
        <v/>
      </c>
      <c r="BJ11" s="70" t="str">
        <f>IF(OR('_MB Analysis'!$I$25&lt;&gt;"OK",COUNT($G$16)&lt;&gt;1,$G$16&lt;0),"",IF(BK11&lt;&gt;$G$16,$BJ$2,$G$16))</f>
        <v/>
      </c>
      <c r="BK11" s="70" t="str">
        <f>IF(OR('_MB Analysis'!$I$25&lt;&gt;"OK",COUNT($G$16)&lt;&gt;1,$G$16&lt;0),"",IF(BK10=$G$16,$G$16,IF(BK10+$BL$2&gt;$AC$15,$G$16,BK10+$BL$2)))</f>
        <v/>
      </c>
      <c r="BM11" s="70" t="str">
        <f>IF(OR('_MB Analysis'!$I$25&lt;&gt;"OK",COUNT($G$16)&lt;&gt;1,$G$16&lt;0),"",IF(BN11&lt;&gt;$G$16,$BM$2,$G$16))</f>
        <v/>
      </c>
      <c r="BN11" s="70" t="str">
        <f>IF(OR('_MB Analysis'!$I$25&lt;&gt;"OK",COUNT($G$16)&lt;&gt;1,$G$16&lt;0),"",IF(BN10=$G$16,$G$16,IF(BN10+$BO$2&gt;$AC$15,$G$16,BN10+$BO$2)))</f>
        <v/>
      </c>
      <c r="BO11" s="73"/>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t="str">
        <f>IFERROR(IF(INDEX('_Input Engine'!$B$61:$B$80,MATCH(C9,'_Input Engine'!$A$61:$A$80,0))="","",INDEX('_Input Engine'!$B$61:$B$80,MATCH(C9,'_Input Engine'!$A$61:$A$80,0))),"")</f>
        <v/>
      </c>
      <c r="H12" s="271" t="s">
        <v>574</v>
      </c>
      <c r="I12" s="116"/>
      <c r="J12" s="116"/>
      <c r="K12" s="116"/>
      <c r="L12" s="116"/>
      <c r="M12" s="116"/>
      <c r="N12" s="116"/>
      <c r="O12" s="116"/>
      <c r="AK12" s="74">
        <v>6</v>
      </c>
      <c r="AL12" s="70" t="str">
        <f>IF(OR('_MB Analysis'!$I$25&lt;&gt;"OK",COUNT($G$16)&lt;&gt;1,$G$16&lt;0),"",AL11)</f>
        <v/>
      </c>
      <c r="AM12" s="70" t="str">
        <f>IF(OR('_MB Analysis'!$I$25&lt;&gt;"OK",COUNT($G$16)&lt;&gt;1,$G$16&lt;0),"",IF($AL$3="",$AM$6,IF(AM11+$AL$3&gt;$AM$2,$AM$6,AM11+$AL$3)))</f>
        <v/>
      </c>
      <c r="AN12" s="73" t="str">
        <f>IF(OR('_MB Analysis'!$I$25&lt;&gt;"OK",COUNT($G$16)&lt;&gt;1,$G$16&lt;0),"",$AC$15)</f>
        <v/>
      </c>
      <c r="AR12" s="269" t="str">
        <f>IF(OR('_MB Analysis'!$I$25&lt;&gt;"OK",COUNT($G$16)&lt;&gt;1,$G$16&lt;0),"",IF(AS12&lt;&gt;$G$16,$AR$2,$G$16))</f>
        <v/>
      </c>
      <c r="AS12" s="70" t="str">
        <f>IF(OR('_MB Analysis'!$I$25&lt;&gt;"OK",COUNT($G$16)&lt;&gt;1,$G$16&lt;0),"",IF(AS11=$G$16,$G$16,IF(AS11+$AT$2&gt;$AC$15,$G$16,AS11+$AT$2)))</f>
        <v/>
      </c>
      <c r="AU12" s="70" t="str">
        <f>IF(OR('_MB Analysis'!$I$25&lt;&gt;"OK",COUNT($G$16)&lt;&gt;1,$G$16&lt;0),"",IF(AV12&lt;&gt;$G$16,$AU$2,$G$16))</f>
        <v/>
      </c>
      <c r="AV12" s="70" t="str">
        <f>IF(OR('_MB Analysis'!$I$25&lt;&gt;"OK",COUNT($G$16)&lt;&gt;1,$G$16&lt;0),"",IF(AV11=$G$16,$G$16,IF(AV11+$AW$2&gt;$AC$15,$G$16,AV11+$AW$2)))</f>
        <v/>
      </c>
      <c r="AX12" s="70" t="str">
        <f>IF(OR('_MB Analysis'!$I$25&lt;&gt;"OK",COUNT($G$16)&lt;&gt;1,$G$16&lt;0),"",IF(AY12&lt;&gt;$G$16,$AX$2,$G$16))</f>
        <v/>
      </c>
      <c r="AY12" s="70" t="str">
        <f>IF(OR('_MB Analysis'!$I$25&lt;&gt;"OK",COUNT($G$16)&lt;&gt;1,$G$16&lt;0),"",IF(AY11=$G$16,$G$16,IF(AY11+$AZ$2&gt;$AC$15,$G$16,AY11+$AZ$2)))</f>
        <v/>
      </c>
      <c r="BA12" s="70" t="str">
        <f>IF(OR('_MB Analysis'!$I$25&lt;&gt;"OK",COUNT($G$16)&lt;&gt;1,$G$16&lt;0),"",IF(BB12&lt;&gt;$G$16,$BA$2,$G$16))</f>
        <v/>
      </c>
      <c r="BB12" s="70" t="str">
        <f>IF(OR('_MB Analysis'!$I$25&lt;&gt;"OK",COUNT($G$16)&lt;&gt;1,$G$16&lt;0),"",IF(BB11=$G$16,$G$16,IF(BB11+$BC$2&gt;$AC$15,$G$16,BB11+$BC$2)))</f>
        <v/>
      </c>
      <c r="BC12" s="73"/>
      <c r="BD12" s="269" t="str">
        <f>IF(OR('_MB Analysis'!$I$25&lt;&gt;"OK",COUNT($G$16)&lt;&gt;1,$G$16&lt;0),"",IF(BE12&lt;&gt;$G$16,$BD$2,$G$16))</f>
        <v/>
      </c>
      <c r="BE12" s="70" t="str">
        <f>IF(OR('_MB Analysis'!$I$25&lt;&gt;"OK",COUNT($G$16)&lt;&gt;1,$G$16&lt;0),"",IF(BE11=$G$16,$G$16,IF(BE11+$BF$2&gt;$AC$15,$G$16,BE11+$BF$2)))</f>
        <v/>
      </c>
      <c r="BG12" s="70" t="str">
        <f>IF(OR('_MB Analysis'!$I$25&lt;&gt;"OK",COUNT($G$16)&lt;&gt;1,$G$16&lt;0),"",IF(BH12&lt;&gt;$G$16,$BG$2,$G$16))</f>
        <v/>
      </c>
      <c r="BH12" s="70" t="str">
        <f>IF(OR('_MB Analysis'!$I$25&lt;&gt;"OK",COUNT($G$16)&lt;&gt;1,$G$16&lt;0),"",IF(BH11=$G$16,$G$16,IF(BH11+$BI$2&gt;$AC$15,$G$16,BH11+$BI$2)))</f>
        <v/>
      </c>
      <c r="BJ12" s="70" t="str">
        <f>IF(OR('_MB Analysis'!$I$25&lt;&gt;"OK",COUNT($G$16)&lt;&gt;1,$G$16&lt;0),"",IF(BK12&lt;&gt;$G$16,$BJ$2,$G$16))</f>
        <v/>
      </c>
      <c r="BK12" s="70" t="str">
        <f>IF(OR('_MB Analysis'!$I$25&lt;&gt;"OK",COUNT($G$16)&lt;&gt;1,$G$16&lt;0),"",IF(BK11=$G$16,$G$16,IF(BK11+$BL$2&gt;$AC$15,$G$16,BK11+$BL$2)))</f>
        <v/>
      </c>
      <c r="BM12" s="70" t="str">
        <f>IF(OR('_MB Analysis'!$I$25&lt;&gt;"OK",COUNT($G$16)&lt;&gt;1,$G$16&lt;0),"",IF(BN12&lt;&gt;$G$16,$BM$2,$G$16))</f>
        <v/>
      </c>
      <c r="BN12" s="70" t="str">
        <f>IF(OR('_MB Analysis'!$I$25&lt;&gt;"OK",COUNT($G$16)&lt;&gt;1,$G$16&lt;0),"",IF(BN11=$G$16,$G$16,IF(BN11+$BO$2&gt;$AC$15,$G$16,BN11+$BO$2)))</f>
        <v/>
      </c>
      <c r="BO12" s="73"/>
    </row>
    <row r="13" spans="1:85" ht="19.5" customHeight="1">
      <c r="A13" s="116"/>
      <c r="B13" s="271" t="s">
        <v>575</v>
      </c>
      <c r="C13" s="116"/>
      <c r="D13" s="116"/>
      <c r="E13" s="274" t="s">
        <v>576</v>
      </c>
      <c r="F13" s="274" t="s">
        <v>573</v>
      </c>
      <c r="G13" s="302"/>
      <c r="H13" s="271" t="s">
        <v>574</v>
      </c>
      <c r="I13" s="116"/>
      <c r="J13" s="116"/>
      <c r="K13" s="116"/>
      <c r="L13" s="116"/>
      <c r="M13" s="116"/>
      <c r="N13" s="116"/>
      <c r="O13" s="116"/>
      <c r="P13" s="70">
        <v>10</v>
      </c>
      <c r="Q13" s="70" t="str">
        <f>IF(OR('_MB Analysis'!$I$25&lt;&gt;"OK",COUNT($G$16)&lt;&gt;1,$G$16&lt;0),"",MIN($T$8,P13))</f>
        <v/>
      </c>
      <c r="R13" s="563" t="s">
        <v>719</v>
      </c>
      <c r="S13" s="563"/>
      <c r="T13" s="564" t="str">
        <f>IFERROR(IF(INDEX('_Input Engine'!$E$61:$E$80,MATCH(C9,'_Input Engine'!$A$61:$A$80,0))="","",INDEX('_Input Engine'!$E$61:$E$80,MATCH(C9,'_Input Engine'!$A$61:$A$80,0))),"")</f>
        <v>Simply-supported</v>
      </c>
      <c r="U13" s="565"/>
      <c r="V13" s="565"/>
      <c r="Y13" s="70">
        <v>0</v>
      </c>
      <c r="Z13" s="70">
        <v>0</v>
      </c>
      <c r="AA13" s="70">
        <v>0</v>
      </c>
      <c r="AB13" s="70">
        <v>0</v>
      </c>
      <c r="AC13" s="70" t="str">
        <f>IF(OR('_MB Analysis'!$I$25&lt;&gt;"OK",COUNT($G$16)&lt;&gt;1,$G$16&lt;0),"",IF(Y13=0,$G$16,Y13-$G$16))</f>
        <v/>
      </c>
      <c r="AD13" s="70" t="str">
        <f>IF(OR('_MB Analysis'!$I$25&lt;&gt;"OK",COUNT($G$16)&lt;&gt;1,$G$16&lt;0),"",IF(Z13=0,$G$16,Z13-$G$16))</f>
        <v/>
      </c>
      <c r="AE13" s="70" t="str">
        <f>IF(OR('_MB Analysis'!$I$25&lt;&gt;"OK",COUNT($G$16)&lt;&gt;1,$G$16&lt;0),"",IF(AC13=$G$16,AC13-$AE$11,AC13+$AE$11))</f>
        <v/>
      </c>
      <c r="AF13" s="70" t="str">
        <f>IF(OR('_MB Analysis'!$I$25&lt;&gt;"OK",COUNT($G$16)&lt;&gt;1,$G$16&lt;0),"",IF(AD13=$G$16,AD13-$AE$11,AD13+$AE$10))</f>
        <v/>
      </c>
      <c r="AK13" s="74">
        <v>7</v>
      </c>
      <c r="AL13" s="70" t="str">
        <f>IF(OR('_MB Analysis'!$I$25&lt;&gt;"OK",COUNT($G$16)&lt;&gt;1,$G$16&lt;0),"",AL12)</f>
        <v/>
      </c>
      <c r="AM13" s="70" t="str">
        <f>IF(OR('_MB Analysis'!$I$25&lt;&gt;"OK",COUNT($G$16)&lt;&gt;1,$G$16&lt;0),"",IF($AL$3="",$AM$6,IF(AM12+$AL$3&gt;$AM$2,$AM$6,AM12+$AL$3)))</f>
        <v/>
      </c>
      <c r="AN13" s="73" t="str">
        <f>IF(OR('_MB Analysis'!$I$25&lt;&gt;"OK",COUNT($G$16)&lt;&gt;1,$G$16&lt;0),"",$AC$15)</f>
        <v/>
      </c>
      <c r="AR13" s="269" t="str">
        <f>IF(OR('_MB Analysis'!$I$25&lt;&gt;"OK",COUNT($G$16)&lt;&gt;1,$G$16&lt;0),"",IF(AS13&lt;&gt;$G$16,$AR$2,$G$16))</f>
        <v/>
      </c>
      <c r="AS13" s="70" t="str">
        <f>IF(OR('_MB Analysis'!$I$25&lt;&gt;"OK",COUNT($G$16)&lt;&gt;1,$G$16&lt;0),"",IF(AS12=$G$16,$G$16,IF(AS12+$AT$2&gt;$AC$15,$G$16,AS12+$AT$2)))</f>
        <v/>
      </c>
      <c r="AU13" s="70" t="str">
        <f>IF(OR('_MB Analysis'!$I$25&lt;&gt;"OK",COUNT($G$16)&lt;&gt;1,$G$16&lt;0),"",IF(AV13&lt;&gt;$G$16,$AU$2,$G$16))</f>
        <v/>
      </c>
      <c r="AV13" s="70" t="str">
        <f>IF(OR('_MB Analysis'!$I$25&lt;&gt;"OK",COUNT($G$16)&lt;&gt;1,$G$16&lt;0),"",IF(AV12=$G$16,$G$16,IF(AV12+$AW$2&gt;$AC$15,$G$16,AV12+$AW$2)))</f>
        <v/>
      </c>
      <c r="AX13" s="70" t="str">
        <f>IF(OR('_MB Analysis'!$I$25&lt;&gt;"OK",COUNT($G$16)&lt;&gt;1,$G$16&lt;0),"",IF(AY13&lt;&gt;$G$16,$AX$2,$G$16))</f>
        <v/>
      </c>
      <c r="AY13" s="70" t="str">
        <f>IF(OR('_MB Analysis'!$I$25&lt;&gt;"OK",COUNT($G$16)&lt;&gt;1,$G$16&lt;0),"",IF(AY12=$G$16,$G$16,IF(AY12+$AZ$2&gt;$AC$15,$G$16,AY12+$AZ$2)))</f>
        <v/>
      </c>
      <c r="BA13" s="70" t="str">
        <f>IF(OR('_MB Analysis'!$I$25&lt;&gt;"OK",COUNT($G$16)&lt;&gt;1,$G$16&lt;0),"",IF(BB13&lt;&gt;$G$16,$BA$2,$G$16))</f>
        <v/>
      </c>
      <c r="BB13" s="70" t="str">
        <f>IF(OR('_MB Analysis'!$I$25&lt;&gt;"OK",COUNT($G$16)&lt;&gt;1,$G$16&lt;0),"",IF(BB12=$G$16,$G$16,IF(BB12+$BC$2&gt;$AC$15,$G$16,BB12+$BC$2)))</f>
        <v/>
      </c>
      <c r="BC13" s="73"/>
      <c r="BD13" s="269" t="str">
        <f>IF(OR('_MB Analysis'!$I$25&lt;&gt;"OK",COUNT($G$16)&lt;&gt;1,$G$16&lt;0),"",IF(BE13&lt;&gt;$G$16,$BD$2,$G$16))</f>
        <v/>
      </c>
      <c r="BE13" s="70" t="str">
        <f>IF(OR('_MB Analysis'!$I$25&lt;&gt;"OK",COUNT($G$16)&lt;&gt;1,$G$16&lt;0),"",IF(BE12=$G$16,$G$16,IF(BE12+$BF$2&gt;$AC$15,$G$16,BE12+$BF$2)))</f>
        <v/>
      </c>
      <c r="BG13" s="70" t="str">
        <f>IF(OR('_MB Analysis'!$I$25&lt;&gt;"OK",COUNT($G$16)&lt;&gt;1,$G$16&lt;0),"",IF(BH13&lt;&gt;$G$16,$BG$2,$G$16))</f>
        <v/>
      </c>
      <c r="BH13" s="70" t="str">
        <f>IF(OR('_MB Analysis'!$I$25&lt;&gt;"OK",COUNT($G$16)&lt;&gt;1,$G$16&lt;0),"",IF(BH12=$G$16,$G$16,IF(BH12+$BI$2&gt;$AC$15,$G$16,BH12+$BI$2)))</f>
        <v/>
      </c>
      <c r="BJ13" s="70" t="str">
        <f>IF(OR('_MB Analysis'!$I$25&lt;&gt;"OK",COUNT($G$16)&lt;&gt;1,$G$16&lt;0),"",IF(BK13&lt;&gt;$G$16,$BJ$2,$G$16))</f>
        <v/>
      </c>
      <c r="BK13" s="70" t="str">
        <f>IF(OR('_MB Analysis'!$I$25&lt;&gt;"OK",COUNT($G$16)&lt;&gt;1,$G$16&lt;0),"",IF(BK12=$G$16,$G$16,IF(BK12+$BL$2&gt;$AC$15,$G$16,BK12+$BL$2)))</f>
        <v/>
      </c>
      <c r="BM13" s="70" t="str">
        <f>IF(OR('_MB Analysis'!$I$25&lt;&gt;"OK",COUNT($G$16)&lt;&gt;1,$G$16&lt;0),"",IF(BN13&lt;&gt;$G$16,$BM$2,$G$16))</f>
        <v/>
      </c>
      <c r="BN13" s="70" t="str">
        <f>IF(OR('_MB Analysis'!$I$25&lt;&gt;"OK",COUNT($G$16)&lt;&gt;1,$G$16&lt;0),"",IF(BN12=$G$16,$G$16,IF(BN12+$BO$2&gt;$AC$15,$G$16,BN12+$BO$2)))</f>
        <v/>
      </c>
      <c r="BO13" s="73"/>
    </row>
    <row r="14" spans="1:85" ht="19.5" customHeight="1">
      <c r="A14" s="116"/>
      <c r="B14" s="271" t="s">
        <v>577</v>
      </c>
      <c r="C14" s="116"/>
      <c r="D14" s="116"/>
      <c r="E14" s="274" t="s">
        <v>578</v>
      </c>
      <c r="F14" s="274" t="s">
        <v>573</v>
      </c>
      <c r="G14" s="263" t="str">
        <f>IFERROR(IF(INDEX('_Input Engine'!$C$61:$C$80,MATCH(C9,'_Input Engine'!$A$61:$A$80,0))="","",INDEX('_Input Engine'!$C$61:$C$80,MATCH(C9,'_Input Engine'!$A$61:$A$80,0))),"")</f>
        <v/>
      </c>
      <c r="H14" s="271" t="s">
        <v>579</v>
      </c>
      <c r="I14" s="116"/>
      <c r="J14" s="116"/>
      <c r="K14" s="116"/>
      <c r="L14" s="116"/>
      <c r="M14" s="116"/>
      <c r="N14" s="116"/>
      <c r="O14" s="116"/>
      <c r="P14" s="70">
        <v>12</v>
      </c>
      <c r="Q14" s="70" t="str">
        <f>IF(OR('_MB Analysis'!$I$25&lt;&gt;"OK",COUNT($G$16)&lt;&gt;1,$G$16&lt;0),"",MIN($T$8,P14))</f>
        <v/>
      </c>
      <c r="Y14" s="70">
        <v>0</v>
      </c>
      <c r="Z14" s="70" t="str">
        <f>IF(OR('_MB Analysis'!$I$25&lt;&gt;"OK",COUNT($G$16)&lt;&gt;1,$G$16&lt;0),"",G15)</f>
        <v/>
      </c>
      <c r="AA14" s="70">
        <v>0</v>
      </c>
      <c r="AB14" s="70" t="str">
        <f>IF(OR('_MB Analysis'!$I$25&lt;&gt;"OK",COUNT($G$16)&lt;&gt;1,$G$16&lt;0),"",AA15)</f>
        <v/>
      </c>
      <c r="AC14" s="70" t="str">
        <f>IF(OR('_MB Analysis'!$I$25&lt;&gt;"OK",COUNT($G$16)&lt;&gt;1,$G$16&lt;0),"",IF(Y14=0,$G$16,Y14-$G$16))</f>
        <v/>
      </c>
      <c r="AD14" s="70" t="str">
        <f>IF(OR('_MB Analysis'!$I$25&lt;&gt;"OK",COUNT($G$16)&lt;&gt;1,$G$16&lt;0),"",IF(Z14=0,$G$16,Z14-$G$16))</f>
        <v/>
      </c>
      <c r="AE14" s="70" t="str">
        <f>IF(OR('_MB Analysis'!$I$25&lt;&gt;"OK",COUNT($G$16)&lt;&gt;1,$G$16&lt;0),"",IF(AC14=$G$16,AC14-$AE$11,AC14+$AE$11))</f>
        <v/>
      </c>
      <c r="AF14" s="70" t="str">
        <f>IF(OR('_MB Analysis'!$I$25&lt;&gt;"OK",COUNT($G$16)&lt;&gt;1,$G$16&lt;0),"",IF(AD14=$G$16,AD14-$AE$11,AD14+$AE$10))</f>
        <v/>
      </c>
      <c r="AK14" s="74">
        <v>8</v>
      </c>
      <c r="AL14" s="70" t="str">
        <f>IF(OR('_MB Analysis'!$I$25&lt;&gt;"OK",COUNT($G$16)&lt;&gt;1,$G$16&lt;0),"",AL13)</f>
        <v/>
      </c>
      <c r="AM14" s="70" t="str">
        <f>IF(OR('_MB Analysis'!$I$25&lt;&gt;"OK",COUNT($G$16)&lt;&gt;1,$G$16&lt;0),"",IF($AL$3="",$AM$6,IF(AM13+$AL$3&gt;$AM$2,$AM$6,AM13+$AL$3)))</f>
        <v/>
      </c>
      <c r="AN14" s="73" t="str">
        <f>IF(OR('_MB Analysis'!$I$25&lt;&gt;"OK",COUNT($G$16)&lt;&gt;1,$G$16&lt;0),"",$AC$15)</f>
        <v/>
      </c>
      <c r="AR14" s="269" t="str">
        <f>IF(OR('_MB Analysis'!$I$25&lt;&gt;"OK",COUNT($G$16)&lt;&gt;1,$G$16&lt;0),"",IF(AS14&lt;&gt;$G$16,$AR$2,$G$16))</f>
        <v/>
      </c>
      <c r="AS14" s="70" t="str">
        <f>IF(OR('_MB Analysis'!$I$25&lt;&gt;"OK",COUNT($G$16)&lt;&gt;1,$G$16&lt;0),"",IF(AS13=$G$16,$G$16,IF(AS13+$AT$2&gt;$AC$15,$G$16,AS13+$AT$2)))</f>
        <v/>
      </c>
      <c r="AU14" s="70" t="str">
        <f>IF(OR('_MB Analysis'!$I$25&lt;&gt;"OK",COUNT($G$16)&lt;&gt;1,$G$16&lt;0),"",IF(AV14&lt;&gt;$G$16,$AU$2,$G$16))</f>
        <v/>
      </c>
      <c r="AV14" s="70" t="str">
        <f>IF(OR('_MB Analysis'!$I$25&lt;&gt;"OK",COUNT($G$16)&lt;&gt;1,$G$16&lt;0),"",IF(AV13=$G$16,$G$16,IF(AV13+$AW$2&gt;$AC$15,$G$16,AV13+$AW$2)))</f>
        <v/>
      </c>
      <c r="AX14" s="70" t="str">
        <f>IF(OR('_MB Analysis'!$I$25&lt;&gt;"OK",COUNT($G$16)&lt;&gt;1,$G$16&lt;0),"",IF(AY14&lt;&gt;$G$16,$AX$2,$G$16))</f>
        <v/>
      </c>
      <c r="AY14" s="70" t="str">
        <f>IF(OR('_MB Analysis'!$I$25&lt;&gt;"OK",COUNT($G$16)&lt;&gt;1,$G$16&lt;0),"",IF(AY13=$G$16,$G$16,IF(AY13+$AZ$2&gt;$AC$15,$G$16,AY13+$AZ$2)))</f>
        <v/>
      </c>
      <c r="BA14" s="70" t="str">
        <f>IF(OR('_MB Analysis'!$I$25&lt;&gt;"OK",COUNT($G$16)&lt;&gt;1,$G$16&lt;0),"",IF(BB14&lt;&gt;$G$16,$BA$2,$G$16))</f>
        <v/>
      </c>
      <c r="BB14" s="70" t="str">
        <f>IF(OR('_MB Analysis'!$I$25&lt;&gt;"OK",COUNT($G$16)&lt;&gt;1,$G$16&lt;0),"",IF(BB13=$G$16,$G$16,IF(BB13+$BC$2&gt;$AC$15,$G$16,BB13+$BC$2)))</f>
        <v/>
      </c>
      <c r="BC14" s="73"/>
      <c r="BD14" s="269" t="str">
        <f>IF(OR('_MB Analysis'!$I$25&lt;&gt;"OK",COUNT($G$16)&lt;&gt;1,$G$16&lt;0),"",IF(BE14&lt;&gt;$G$16,$BD$2,$G$16))</f>
        <v/>
      </c>
      <c r="BE14" s="70" t="str">
        <f>IF(OR('_MB Analysis'!$I$25&lt;&gt;"OK",COUNT($G$16)&lt;&gt;1,$G$16&lt;0),"",IF(BE13=$G$16,$G$16,IF(BE13+$BF$2&gt;$AC$15,$G$16,BE13+$BF$2)))</f>
        <v/>
      </c>
      <c r="BG14" s="70" t="str">
        <f>IF(OR('_MB Analysis'!$I$25&lt;&gt;"OK",COUNT($G$16)&lt;&gt;1,$G$16&lt;0),"",IF(BH14&lt;&gt;$G$16,$BG$2,$G$16))</f>
        <v/>
      </c>
      <c r="BH14" s="70" t="str">
        <f>IF(OR('_MB Analysis'!$I$25&lt;&gt;"OK",COUNT($G$16)&lt;&gt;1,$G$16&lt;0),"",IF(BH13=$G$16,$G$16,IF(BH13+$BI$2&gt;$AC$15,$G$16,BH13+$BI$2)))</f>
        <v/>
      </c>
      <c r="BJ14" s="70" t="str">
        <f>IF(OR('_MB Analysis'!$I$25&lt;&gt;"OK",COUNT($G$16)&lt;&gt;1,$G$16&lt;0),"",IF(BK14&lt;&gt;$G$16,$BJ$2,$G$16))</f>
        <v/>
      </c>
      <c r="BK14" s="70" t="str">
        <f>IF(OR('_MB Analysis'!$I$25&lt;&gt;"OK",COUNT($G$16)&lt;&gt;1,$G$16&lt;0),"",IF(BK13=$G$16,$G$16,IF(BK13+$BL$2&gt;$AC$15,$G$16,BK13+$BL$2)))</f>
        <v/>
      </c>
      <c r="BM14" s="70" t="str">
        <f>IF(OR('_MB Analysis'!$I$25&lt;&gt;"OK",COUNT($G$16)&lt;&gt;1,$G$16&lt;0),"",IF(BN14&lt;&gt;$G$16,$BM$2,$G$16))</f>
        <v/>
      </c>
      <c r="BN14" s="70" t="str">
        <f>IF(OR('_MB Analysis'!$I$25&lt;&gt;"OK",COUNT($G$16)&lt;&gt;1,$G$16&lt;0),"",IF(BN13=$G$16,$G$16,IF(BN13+$BO$2&gt;$AC$15,$G$16,BN13+$BO$2)))</f>
        <v/>
      </c>
      <c r="BO14" s="73"/>
    </row>
    <row r="15" spans="1:85" ht="19.5" customHeight="1" thickBot="1">
      <c r="A15" s="116"/>
      <c r="B15" s="271" t="s">
        <v>580</v>
      </c>
      <c r="C15" s="116"/>
      <c r="D15" s="116"/>
      <c r="E15" s="274" t="s">
        <v>581</v>
      </c>
      <c r="F15" s="274" t="s">
        <v>573</v>
      </c>
      <c r="G15" s="263" t="str">
        <f>IFERROR(IF(INDEX('_Input Engine'!$D$61:$D$80,MATCH(C9,'_Input Engine'!$A$61:$A$80,0))="","",INDEX('_Input Engine'!$D$61:$D$80,MATCH(C9,'_Input Engine'!$A$61:$A$80,0))),"")</f>
        <v/>
      </c>
      <c r="H15" s="271" t="s">
        <v>579</v>
      </c>
      <c r="I15" s="116"/>
      <c r="J15" s="116"/>
      <c r="K15" s="116"/>
      <c r="L15" s="116"/>
      <c r="M15" s="116"/>
      <c r="N15" s="116"/>
      <c r="O15" s="116"/>
      <c r="P15" s="70">
        <v>16</v>
      </c>
      <c r="Q15" s="70" t="str">
        <f>IF(OR('_MB Analysis'!$I$25&lt;&gt;"OK",COUNT($G$16)&lt;&gt;1,$G$16&lt;0),"",MIN($T$8,P15))</f>
        <v/>
      </c>
      <c r="Y15" s="70" t="str">
        <f>IF(OR('_MB Analysis'!$I$25&lt;&gt;"OK",COUNT($G$16)&lt;&gt;1,$G$16&lt;0),"",G14)</f>
        <v/>
      </c>
      <c r="Z15" s="70" t="str">
        <f>IF(OR('_MB Analysis'!$I$25&lt;&gt;"OK",COUNT($G$16)&lt;&gt;1,$G$16&lt;0),"",G15)</f>
        <v/>
      </c>
      <c r="AA15" s="70" t="str">
        <f>IF(OR('_MB Analysis'!$I$25&lt;&gt;"OK",COUNT($G$16)&lt;&gt;1,$G$16&lt;0),"",MAX(G14:G15))</f>
        <v/>
      </c>
      <c r="AB15" s="70" t="str">
        <f>IF(OR('_MB Analysis'!$I$25&lt;&gt;"OK",COUNT($G$16)&lt;&gt;1,$G$16&lt;0),"",AA16)</f>
        <v/>
      </c>
      <c r="AC15" s="70" t="str">
        <f>IF(OR('_MB Analysis'!$I$25&lt;&gt;"OK",COUNT($G$16)&lt;&gt;1,$G$16&lt;0),"",IF(Y15=0,$G$16,Y15-$G$16))</f>
        <v/>
      </c>
      <c r="AD15" s="70" t="str">
        <f>IF(OR('_MB Analysis'!$I$25&lt;&gt;"OK",COUNT($G$16)&lt;&gt;1,$G$16&lt;0),"",IF(Z15=0,$G$16,Z15-$G$16))</f>
        <v/>
      </c>
      <c r="AE15" s="70" t="str">
        <f>IF(OR('_MB Analysis'!$I$25&lt;&gt;"OK",COUNT($G$16)&lt;&gt;1,$G$16&lt;0),"",IF(AC15=$G$16,AC15-$AE$11,AC15+$AE$11))</f>
        <v/>
      </c>
      <c r="AF15" s="70" t="str">
        <f>IF(OR('_MB Analysis'!$I$25&lt;&gt;"OK",COUNT($G$16)&lt;&gt;1,$G$16&lt;0),"",IF(AD15=$G$16,AD15-$AE$11,AD15+$AE$10))</f>
        <v/>
      </c>
      <c r="AK15" s="74">
        <v>9</v>
      </c>
      <c r="AL15" s="70" t="str">
        <f>IF(OR('_MB Analysis'!$I$25&lt;&gt;"OK",COUNT($G$16)&lt;&gt;1,$G$16&lt;0),"",AL14)</f>
        <v/>
      </c>
      <c r="AM15" s="70" t="str">
        <f>IF(OR('_MB Analysis'!$I$25&lt;&gt;"OK",COUNT($G$16)&lt;&gt;1,$G$16&lt;0),"",IF($AL$3="",$AM$6,IF(AM14+$AL$3&gt;$AM$2,$AM$6,AM14+$AL$3)))</f>
        <v/>
      </c>
      <c r="AN15" s="73" t="str">
        <f>IF(OR('_MB Analysis'!$I$25&lt;&gt;"OK",COUNT($G$16)&lt;&gt;1,$G$16&lt;0),"",$AC$15)</f>
        <v/>
      </c>
      <c r="AR15" s="275" t="str">
        <f>IF(OR('_MB Analysis'!$I$25&lt;&gt;"OK",COUNT($G$16)&lt;&gt;1,$G$16&lt;0),"",IF(AS15&lt;&gt;$G$16,$AR$2,$G$16))</f>
        <v/>
      </c>
      <c r="AS15" s="75" t="str">
        <f>IF(OR('_MB Analysis'!$I$25&lt;&gt;"OK",COUNT($G$16)&lt;&gt;1,$G$16&lt;0),"",IF(AS14=$G$16,$G$16,IF(AS14+$AT$2&gt;$AC$15,$G$16,AS14+$AT$2)))</f>
        <v/>
      </c>
      <c r="AT15" s="75"/>
      <c r="AU15" s="75" t="str">
        <f>IF(OR('_MB Analysis'!$I$25&lt;&gt;"OK",COUNT($G$16)&lt;&gt;1,$G$16&lt;0),"",IF(AV15&lt;&gt;$G$16,$AU$2,$G$16))</f>
        <v/>
      </c>
      <c r="AV15" s="75" t="str">
        <f>IF(OR('_MB Analysis'!$I$25&lt;&gt;"OK",COUNT($G$16)&lt;&gt;1,$G$16&lt;0),"",IF(AV14=$G$16,$G$16,IF(AV14+$AW$2&gt;$AC$15,$G$16,AV14+$AW$2)))</f>
        <v/>
      </c>
      <c r="AW15" s="75"/>
      <c r="AX15" s="75" t="str">
        <f>IF(OR('_MB Analysis'!$I$25&lt;&gt;"OK",COUNT($G$16)&lt;&gt;1,$G$16&lt;0),"",IF(AY15&lt;&gt;$G$16,$AU$2,$G$16))</f>
        <v/>
      </c>
      <c r="AY15" s="75" t="str">
        <f>IF(OR('_MB Analysis'!$I$25&lt;&gt;"OK",COUNT($G$16)&lt;&gt;1,$G$16&lt;0),"",IF(AY14=$G$16,$G$16,IF(AY14+$AZ$2&gt;$AC$15,$G$16,AY14+$AZ$2)))</f>
        <v/>
      </c>
      <c r="AZ15" s="75"/>
      <c r="BA15" s="75" t="str">
        <f>IF(OR('_MB Analysis'!$I$25&lt;&gt;"OK",COUNT($G$16)&lt;&gt;1,$G$16&lt;0),"",IF(BB15&lt;&gt;$G$16,$BA$2,$G$16))</f>
        <v/>
      </c>
      <c r="BB15" s="75" t="str">
        <f>IF(OR('_MB Analysis'!$I$25&lt;&gt;"OK",COUNT($G$16)&lt;&gt;1,$G$16&lt;0),"",IF(BB14=$G$16,$G$16,IF(BB14+$BC$2&gt;$AC$15,$G$16,BB14+$BC$2)))</f>
        <v/>
      </c>
      <c r="BC15" s="78"/>
      <c r="BD15" s="275" t="str">
        <f>IF(OR('_MB Analysis'!$I$25&lt;&gt;"OK",COUNT($G$16)&lt;&gt;1,$G$16&lt;0),"",IF(BE15&lt;&gt;$G$16,$BD$2,$G$16))</f>
        <v/>
      </c>
      <c r="BE15" s="75" t="str">
        <f>IF(OR('_MB Analysis'!$I$25&lt;&gt;"OK",COUNT($G$16)&lt;&gt;1,$G$16&lt;0),"",IF(BE14=$G$16,$G$16,IF(BE14+$BF$2&gt;$AC$15,$G$16,BE14+$BF$2)))</f>
        <v/>
      </c>
      <c r="BF15" s="75"/>
      <c r="BG15" s="75" t="str">
        <f>IF(OR('_MB Analysis'!$I$25&lt;&gt;"OK",COUNT($G$16)&lt;&gt;1,$G$16&lt;0),"",IF(BH15&lt;&gt;$G$16,$BG$2,$G$16))</f>
        <v/>
      </c>
      <c r="BH15" s="75" t="str">
        <f>IF(OR('_MB Analysis'!$I$25&lt;&gt;"OK",COUNT($G$16)&lt;&gt;1,$G$16&lt;0),"",IF(BH14=$G$16,$G$16,IF(BH14+$BI$2&gt;$AC$15,$G$16,BH14+$BI$2)))</f>
        <v/>
      </c>
      <c r="BI15" s="75"/>
      <c r="BJ15" s="75" t="str">
        <f>IF(OR('_MB Analysis'!$I$25&lt;&gt;"OK",COUNT($G$16)&lt;&gt;1,$G$16&lt;0),"",IF(BK15&lt;&gt;$G$16,$BJ$2,$G$16))</f>
        <v/>
      </c>
      <c r="BK15" s="75" t="str">
        <f>IF(OR('_MB Analysis'!$I$25&lt;&gt;"OK",COUNT($G$16)&lt;&gt;1,$G$16&lt;0),"",IF(BK14=$G$16,$G$16,IF(BK14+$BL$2&gt;$AC$15,$G$16,BK14+$BL$2)))</f>
        <v/>
      </c>
      <c r="BL15" s="75"/>
      <c r="BM15" s="75" t="str">
        <f>IF(OR('_MB Analysis'!$I$25&lt;&gt;"OK",COUNT($G$16)&lt;&gt;1,$G$16&lt;0),"",IF(BN15&lt;&gt;$G$16,$BM$2,$G$16))</f>
        <v/>
      </c>
      <c r="BN15" s="75" t="str">
        <f>IF(OR('_MB Analysis'!$I$25&lt;&gt;"OK",COUNT($G$16)&lt;&gt;1,$G$16&lt;0),"",IF(BN14=$G$16,$G$16,IF(BN14+$BO$2&gt;$AC$15,$G$16,BN14+$BO$2)))</f>
        <v/>
      </c>
      <c r="BO15" s="78"/>
    </row>
    <row r="16" spans="1:85" ht="19.5" customHeight="1" thickBot="1">
      <c r="A16" s="116"/>
      <c r="B16" s="271" t="s">
        <v>582</v>
      </c>
      <c r="C16" s="116"/>
      <c r="D16" s="116"/>
      <c r="E16" s="274" t="s">
        <v>583</v>
      </c>
      <c r="F16" s="274" t="s">
        <v>573</v>
      </c>
      <c r="G16" s="265" t="str">
        <f>IF(COUNTIF('_Input Engine'!$A$61:$A$80,C9)&lt;&gt;1,"",IF(ISNUMBER(INDEX('_Input Engine'!$K$91:$K$110,MATCH(C9,'_Input Engine'!$A$61:$A$80,0))),INDEX('_Input Engine'!$K$91:$K$110,MATCH(C9,'_Input Engine'!$A$61:$A$80,0)),""))</f>
        <v/>
      </c>
      <c r="H16" s="271" t="s">
        <v>579</v>
      </c>
      <c r="I16" s="116"/>
      <c r="J16" s="116"/>
      <c r="K16" s="116"/>
      <c r="L16" s="116"/>
      <c r="M16" s="116"/>
      <c r="N16" s="116"/>
      <c r="O16" s="116"/>
      <c r="P16" s="70">
        <v>20</v>
      </c>
      <c r="Q16" s="70" t="str">
        <f>IF(OR('_MB Analysis'!$I$25&lt;&gt;"OK",COUNT($G$16)&lt;&gt;1,$G$16&lt;0),"",MIN($T$8,P16))</f>
        <v/>
      </c>
      <c r="R16" s="559" t="s">
        <v>739</v>
      </c>
      <c r="S16" s="559"/>
      <c r="T16" s="560" t="s">
        <v>740</v>
      </c>
      <c r="U16" s="561"/>
      <c r="Y16" s="70" t="str">
        <f>IF(OR('_MB Analysis'!$I$25&lt;&gt;"OK",COUNT($G$16)&lt;&gt;1,$G$16&lt;0),"",G14)</f>
        <v/>
      </c>
      <c r="Z16" s="70">
        <v>0</v>
      </c>
      <c r="AA16" s="70" t="str">
        <f>IF(OR('_MB Analysis'!$I$25&lt;&gt;"OK",COUNT($G$16)&lt;&gt;1,$G$16&lt;0),"",AA15)</f>
        <v/>
      </c>
      <c r="AB16" s="70">
        <v>0</v>
      </c>
      <c r="AC16" s="70" t="str">
        <f>IF(OR('_MB Analysis'!$I$25&lt;&gt;"OK",COUNT($G$16)&lt;&gt;1,$G$16&lt;0),"",IF(Y16=0,$G$16,Y16-$G$16))</f>
        <v/>
      </c>
      <c r="AD16" s="70" t="str">
        <f>IF(OR('_MB Analysis'!$I$25&lt;&gt;"OK",COUNT($G$16)&lt;&gt;1,$G$16&lt;0),"",IF(Z16=0,$G$16,Z16-$G$16))</f>
        <v/>
      </c>
      <c r="AE16" s="70" t="str">
        <f>IF(OR('_MB Analysis'!$I$25&lt;&gt;"OK",COUNT($G$16)&lt;&gt;1,$G$16&lt;0),"",IF(AC16=$G$16,AC16-$AE$11,AC16+$AE$11))</f>
        <v/>
      </c>
      <c r="AF16" s="70" t="str">
        <f>IF(OR('_MB Analysis'!$I$25&lt;&gt;"OK",COUNT($G$16)&lt;&gt;1,$G$16&lt;0),"",IF(AD16=$G$16,AD16-$AE$11,AD16+$AE$10))</f>
        <v/>
      </c>
      <c r="AK16" s="79">
        <v>10</v>
      </c>
      <c r="AL16" s="75" t="str">
        <f>IF(OR('_MB Analysis'!$I$25&lt;&gt;"OK",COUNT($G$16)&lt;&gt;1,$G$16&lt;0),"",AL15)</f>
        <v/>
      </c>
      <c r="AM16" s="75" t="str">
        <f>IF(OR('_MB Analysis'!$I$25&lt;&gt;"OK",COUNT($G$16)&lt;&gt;1,$G$16&lt;0),"",IF($AL$3="",$AM$6,IF(AM15+$AL$3&gt;$AM$2,$AM$6,AM15+$AL$3)))</f>
        <v/>
      </c>
      <c r="AN16" s="78" t="str">
        <f>IF(OR('_MB Analysis'!$I$25&lt;&gt;"OK",COUNT($G$16)&lt;&gt;1,$G$16&lt;0),"",$AC$15)</f>
        <v/>
      </c>
      <c r="AR16" s="70" t="str">
        <f>IF(OR('_MB Analysis'!$I$25&lt;&gt;"OK",COUNT($G$16)&lt;&gt;1,$G$16&lt;0),"",IF(AR2=$G$16,9999999999999,AR2))</f>
        <v/>
      </c>
      <c r="AU16" s="70" t="str">
        <f>IF(OR('_MB Analysis'!$I$25&lt;&gt;"OK",COUNT($G$16)&lt;&gt;1,$G$16&lt;0),"",IF(AU2=$G$16,9999999999999,AU2))</f>
        <v/>
      </c>
      <c r="AX16" s="70" t="str">
        <f>IF(OR('_MB Analysis'!$I$25&lt;&gt;"OK",COUNT($G$16)&lt;&gt;1,$G$16&lt;0),"",IF(AX2=$G$16,9999999999999,AX2))</f>
        <v/>
      </c>
      <c r="BA16" s="70" t="str">
        <f>IF(OR('_MB Analysis'!$I$25&lt;&gt;"OK",COUNT($G$16)&lt;&gt;1,$G$16&lt;0),"",IF(BA2=$G$16,9999999999999,BA2))</f>
        <v/>
      </c>
      <c r="BD16" s="70" t="str">
        <f>IF(OR('_MB Analysis'!$I$25&lt;&gt;"OK",COUNT($G$16)&lt;&gt;1,$G$16&lt;0),"",BD2)</f>
        <v/>
      </c>
      <c r="BG16" s="70" t="str">
        <f>IF(OR('_MB Analysis'!$I$25&lt;&gt;"OK",COUNT($G$16)&lt;&gt;1,$G$16&lt;0),"",BG2)</f>
        <v/>
      </c>
      <c r="BJ16" s="70" t="str">
        <f>IF(OR('_MB Analysis'!$I$25&lt;&gt;"OK",COUNT($G$16)&lt;&gt;1,$G$16&lt;0),"",BJ2)</f>
        <v/>
      </c>
      <c r="BM16" s="70" t="str">
        <f>IF(OR('_MB Analysis'!$I$25&lt;&gt;"OK",COUNT($G$16)&lt;&gt;1,$G$16&lt;0),"",BM2)</f>
        <v/>
      </c>
    </row>
    <row r="17" spans="1:45" ht="19.5" customHeight="1">
      <c r="A17" s="116"/>
      <c r="B17" s="271" t="s">
        <v>584</v>
      </c>
      <c r="C17" s="116"/>
      <c r="D17" s="116"/>
      <c r="E17" s="274" t="s">
        <v>917</v>
      </c>
      <c r="F17" s="274" t="s">
        <v>573</v>
      </c>
      <c r="G17" s="263" t="str">
        <f>IFERROR(IF(INDEX('_Input Engine'!$AH$61:$AH$80,MATCH(C9,'_Input Engine'!$A$61:$A$80,0))="","",INDEX('_Input Engine'!$AH$61:$AH$80,MATCH(C9,'_Input Engine'!$A$61:$A$80,0))),"")</f>
        <v/>
      </c>
      <c r="H17" s="271" t="s">
        <v>585</v>
      </c>
      <c r="I17" s="116"/>
      <c r="J17" s="116"/>
      <c r="K17" s="116"/>
      <c r="L17" s="112"/>
      <c r="M17" s="112"/>
      <c r="N17" s="116"/>
      <c r="O17" s="116"/>
      <c r="P17" s="70">
        <v>25</v>
      </c>
      <c r="Q17" s="70" t="str">
        <f>IF(OR('_MB Analysis'!$I$25&lt;&gt;"OK",COUNT($G$16)&lt;&gt;1,$G$16&lt;0),"",MIN($T$8,P17))</f>
        <v/>
      </c>
      <c r="R17" s="71" t="str">
        <f>IF(OR('_MB Analysis'!$I$25&lt;&gt;"OK",COUNT($G$16)&lt;&gt;1,$G$16&lt;0),"",O40)</f>
        <v/>
      </c>
      <c r="Y17" s="70">
        <v>0</v>
      </c>
      <c r="Z17" s="70">
        <v>0</v>
      </c>
      <c r="AA17" s="70">
        <v>0</v>
      </c>
      <c r="AB17" s="70">
        <v>0</v>
      </c>
      <c r="AC17" s="70" t="str">
        <f>IF(OR('_MB Analysis'!$I$25&lt;&gt;"OK",COUNT($G$16)&lt;&gt;1,$G$16&lt;0),"",IF(Y17=0,$G$16,Y17-$G$16))</f>
        <v/>
      </c>
      <c r="AD17" s="70" t="str">
        <f>IF(OR('_MB Analysis'!$I$25&lt;&gt;"OK",COUNT($G$16)&lt;&gt;1,$G$16&lt;0),"",IF(Z17=0,$G$16,Z17-$G$16))</f>
        <v/>
      </c>
      <c r="AE17" s="70" t="str">
        <f>IF(OR('_MB Analysis'!$I$25&lt;&gt;"OK",COUNT($G$16)&lt;&gt;1,$G$16&lt;0),"",IF(AC17=$G$16,AC17-$AE$11,AC17+$AE$11))</f>
        <v/>
      </c>
      <c r="AF17" s="70" t="str">
        <f>IF(OR('_MB Analysis'!$I$25&lt;&gt;"OK",COUNT($G$16)&lt;&gt;1,$G$16&lt;0),"",IF(AD17=$G$16,AD17-$AE$11,AD17+$AE$10))</f>
        <v/>
      </c>
      <c r="AR17" s="70">
        <v>0</v>
      </c>
      <c r="AS17" s="70">
        <v>0</v>
      </c>
    </row>
    <row r="18" spans="1:45" ht="19.5" customHeight="1">
      <c r="A18" s="116"/>
      <c r="B18" s="527" t="s">
        <v>954</v>
      </c>
      <c r="C18" s="526"/>
      <c r="D18" s="526"/>
      <c r="E18" s="274" t="s">
        <v>918</v>
      </c>
      <c r="F18" s="274" t="s">
        <v>573</v>
      </c>
      <c r="G18" s="303">
        <v>500</v>
      </c>
      <c r="H18" s="271" t="s">
        <v>585</v>
      </c>
      <c r="I18" s="116"/>
      <c r="J18" s="116"/>
      <c r="K18" s="116"/>
      <c r="L18" s="116"/>
      <c r="M18" s="116"/>
      <c r="N18" s="116"/>
      <c r="O18" s="116"/>
      <c r="P18" s="70">
        <v>32</v>
      </c>
      <c r="Q18" s="70" t="str">
        <f>IF(OR('_MB Analysis'!$I$25&lt;&gt;"OK",COUNT($G$16)&lt;&gt;1,$G$16&lt;0),"",MIN($T$8,P18))</f>
        <v/>
      </c>
      <c r="R18" s="71" t="str">
        <f>IF(OR('_MB Analysis'!$I$25&lt;&gt;"OK",COUNT($G$16)&lt;&gt;1,$G$16&lt;0),"",O44)</f>
        <v/>
      </c>
      <c r="AR18" s="70">
        <v>0</v>
      </c>
      <c r="AS18" s="70" t="str">
        <f>IF(OR('_MB Analysis'!$I$25&lt;&gt;"OK",COUNT($G$16)&lt;&gt;1,$G$16&lt;0),"",Z14)</f>
        <v/>
      </c>
    </row>
    <row r="19" spans="1:45" ht="19.5" customHeight="1">
      <c r="A19" s="116"/>
      <c r="B19" s="527" t="s">
        <v>955</v>
      </c>
      <c r="C19" s="526"/>
      <c r="D19" s="526"/>
      <c r="E19" s="274" t="s">
        <v>919</v>
      </c>
      <c r="F19" s="274" t="s">
        <v>573</v>
      </c>
      <c r="G19" s="303">
        <v>500</v>
      </c>
      <c r="H19" s="271" t="s">
        <v>585</v>
      </c>
      <c r="I19" s="116"/>
      <c r="J19" s="116"/>
      <c r="K19" s="116"/>
      <c r="L19" s="116"/>
      <c r="M19" s="116"/>
      <c r="N19" s="116"/>
      <c r="O19" s="116"/>
      <c r="P19" s="70">
        <v>40</v>
      </c>
      <c r="Q19" s="70" t="str">
        <f>IF(OR('_MB Analysis'!$I$25&lt;&gt;"OK",COUNT($G$16)&lt;&gt;1,$G$16&lt;0),"",MIN($T$8,P19))</f>
        <v/>
      </c>
      <c r="R19" s="71" t="str">
        <f>IF(OR('_MB Analysis'!$I$25&lt;&gt;"OK",COUNT($G$16)&lt;&gt;1,$G$16&lt;0),"",O52)</f>
        <v/>
      </c>
      <c r="AR19" s="70" t="str">
        <f>IF(OR('_MB Analysis'!$I$25&lt;&gt;"OK",COUNT($G$16)&lt;&gt;1,$G$16&lt;0),"",Y15)</f>
        <v/>
      </c>
      <c r="AS19" s="70" t="str">
        <f>IF(OR('_MB Analysis'!$I$25&lt;&gt;"OK",COUNT($G$16)&lt;&gt;1,$G$16&lt;0),"",Z15)</f>
        <v/>
      </c>
    </row>
    <row r="20" spans="1:45" ht="7.95" customHeight="1">
      <c r="A20" s="116"/>
      <c r="B20" s="116"/>
      <c r="C20" s="116"/>
      <c r="D20" s="116"/>
      <c r="E20" s="116"/>
      <c r="F20" s="112"/>
      <c r="G20" s="112"/>
      <c r="H20" s="112"/>
      <c r="I20" s="116"/>
      <c r="J20" s="116"/>
      <c r="K20" s="116"/>
      <c r="L20" s="116"/>
      <c r="M20" s="116"/>
      <c r="N20" s="116"/>
      <c r="O20" s="116"/>
      <c r="AR20" s="70" t="str">
        <f>IF(OR('_MB Analysis'!$I$25&lt;&gt;"OK",COUNT($G$16)&lt;&gt;1,$G$16&lt;0),"",Y16)</f>
        <v/>
      </c>
      <c r="AS20" s="70">
        <v>0</v>
      </c>
    </row>
    <row r="21" spans="1:45" ht="25.05" customHeight="1">
      <c r="A21" s="116"/>
      <c r="B21" s="520" t="s">
        <v>949</v>
      </c>
      <c r="C21" s="520"/>
      <c r="D21" s="520"/>
      <c r="E21" s="521"/>
      <c r="F21" s="521"/>
      <c r="G21" s="521"/>
      <c r="H21" s="521"/>
      <c r="I21" s="521"/>
      <c r="J21" s="521"/>
      <c r="K21" s="521"/>
      <c r="L21" s="521"/>
      <c r="M21" s="521"/>
      <c r="N21" s="521"/>
      <c r="O21" s="141"/>
      <c r="R21" s="71" t="str">
        <f>IF(OR('_MB Analysis'!$I$25&lt;&gt;"OK",COUNT($G$16)&lt;&gt;1,$G$16&lt;0),"",O59)</f>
        <v/>
      </c>
      <c r="T21" s="276" t="str">
        <f>IF(OR('_MB Analysis'!$I$25&lt;&gt;"OK",COUNT($G$16)&lt;&gt;1,$G$16&lt;0),"",IF(AND(N40="OKAY",N44="OKAY",N52="OKAY",N59="OKAY",N69="OKAY",N77="OKAY",N78="OKAY",N87="OKAY"),"OKAY","NOT OKAY"))</f>
        <v/>
      </c>
      <c r="AR21" s="70">
        <v>0</v>
      </c>
      <c r="AS21" s="70">
        <v>0</v>
      </c>
    </row>
    <row r="22" spans="1:45" ht="7.95" customHeight="1">
      <c r="A22" s="116"/>
      <c r="B22" s="116"/>
      <c r="C22" s="116"/>
      <c r="D22" s="116"/>
      <c r="E22" s="116"/>
      <c r="F22" s="116"/>
      <c r="G22" s="116"/>
      <c r="H22" s="116"/>
      <c r="I22" s="116"/>
      <c r="J22" s="116"/>
      <c r="K22" s="116"/>
      <c r="L22" s="116"/>
      <c r="M22" s="116"/>
      <c r="N22" s="116"/>
      <c r="O22" s="116"/>
      <c r="R22" s="562" t="s">
        <v>1087</v>
      </c>
      <c r="S22" s="562"/>
      <c r="T22" s="562"/>
      <c r="U22" s="562"/>
      <c r="V22" s="562"/>
    </row>
    <row r="23" spans="1:45" ht="19.5" customHeight="1">
      <c r="A23" s="116"/>
      <c r="B23" s="271" t="s">
        <v>586</v>
      </c>
      <c r="C23" s="116"/>
      <c r="D23" s="116"/>
      <c r="E23" s="274" t="s">
        <v>587</v>
      </c>
      <c r="F23" s="274" t="s">
        <v>573</v>
      </c>
      <c r="G23" s="262" t="str">
        <f>IFERROR(IF(INDEX('_Input Engine'!$H$91:$H$110,MATCH(C9,'_Input Engine'!$A$61:$A$80,0))="","",INDEX('_Input Engine'!$H$91:$H$110,MATCH(C9,'_Input Engine'!$A$61:$A$80,0))),"")</f>
        <v/>
      </c>
      <c r="H23" s="271" t="s">
        <v>588</v>
      </c>
      <c r="I23" s="116"/>
      <c r="J23" s="116"/>
      <c r="K23" s="116"/>
      <c r="L23" s="116"/>
      <c r="M23" s="116"/>
      <c r="N23" s="116"/>
      <c r="O23" s="116"/>
      <c r="R23" s="562" t="str">
        <f>IF('_MB Analysis'!I25&lt;&gt;"OK",'_MB Analysis'!I25,IF(G16="","ENTER COVER",IF(T16="Manual","MANUAL DESIGN CHECK","AUTO DESIGN CHECK")))</f>
        <v/>
      </c>
      <c r="S23" s="562"/>
      <c r="T23" s="562"/>
      <c r="U23" s="562"/>
      <c r="V23" s="562"/>
    </row>
    <row r="24" spans="1:45" ht="19.5" customHeight="1">
      <c r="A24" s="116"/>
      <c r="B24" s="271" t="s">
        <v>589</v>
      </c>
      <c r="C24" s="116"/>
      <c r="D24" s="116"/>
      <c r="E24" s="274" t="s">
        <v>590</v>
      </c>
      <c r="F24" s="274" t="s">
        <v>573</v>
      </c>
      <c r="G24" s="262" t="str">
        <f>IFERROR(IF(INDEX('_Input Engine'!$I$91:$I$110,MATCH(C9,'_Input Engine'!$A$61:$A$80,0))="","",INDEX('_Input Engine'!$I$91:$I$110,MATCH(C9,'_Input Engine'!$A$61:$A$80,0))),"")</f>
        <v/>
      </c>
      <c r="H24" s="271" t="s">
        <v>591</v>
      </c>
      <c r="I24" s="116"/>
      <c r="J24" s="116"/>
      <c r="K24" s="116"/>
      <c r="L24" s="116"/>
      <c r="M24" s="116"/>
      <c r="N24" s="116"/>
      <c r="O24" s="116"/>
      <c r="R24" s="562"/>
      <c r="S24" s="562"/>
      <c r="T24" s="562"/>
      <c r="U24" s="562"/>
      <c r="V24" s="562"/>
    </row>
    <row r="25" spans="1:45" ht="19.5" customHeight="1">
      <c r="A25" s="116"/>
      <c r="B25" s="271" t="s">
        <v>592</v>
      </c>
      <c r="C25" s="116"/>
      <c r="D25" s="116"/>
      <c r="E25" s="274" t="s">
        <v>593</v>
      </c>
      <c r="F25" s="274" t="s">
        <v>573</v>
      </c>
      <c r="G25" s="524" t="str">
        <f>IF(OR('_MB Analysis'!$I$25&lt;&gt;"OK",COUNT($G$16)&lt;&gt;1,$G$16&lt;0),"",E24&amp; " x "&amp;E13)</f>
        <v/>
      </c>
      <c r="H25" s="525"/>
      <c r="I25" s="525"/>
      <c r="J25" s="271" t="s">
        <v>573</v>
      </c>
      <c r="K25" s="264" t="str">
        <f>IF(OR('_MB Analysis'!$I$25&lt;&gt;"OK",COUNT($G$16)&lt;&gt;1,$G$16&lt;0),"",IF(ISNUMBER(G24),G24*N(G13),""))</f>
        <v/>
      </c>
      <c r="L25" s="271" t="s">
        <v>588</v>
      </c>
      <c r="M25" s="116"/>
      <c r="N25" s="116"/>
      <c r="O25" s="116"/>
      <c r="R25" s="84" t="str">
        <f>IF(OR('_MB Analysis'!$I$25&lt;&gt;"OK",COUNT($G$16)&lt;&gt;1,$G$16&lt;0),"",O77)</f>
        <v/>
      </c>
      <c r="S25" s="84"/>
      <c r="T25" s="84"/>
      <c r="U25" s="84"/>
      <c r="V25" s="84"/>
    </row>
    <row r="26" spans="1:45" ht="7.95" customHeight="1">
      <c r="A26" s="116"/>
      <c r="B26" s="526"/>
      <c r="C26" s="526"/>
      <c r="D26" s="526"/>
      <c r="E26" s="116"/>
      <c r="F26" s="112"/>
      <c r="G26" s="113"/>
      <c r="H26" s="113"/>
      <c r="I26" s="116"/>
      <c r="J26" s="116"/>
      <c r="K26" s="116"/>
      <c r="L26" s="116"/>
      <c r="M26" s="116"/>
      <c r="N26" s="116"/>
      <c r="O26" s="116"/>
      <c r="R26" s="562" t="s">
        <v>1100</v>
      </c>
      <c r="S26" s="562"/>
      <c r="T26" s="562"/>
      <c r="U26" s="562"/>
      <c r="V26" s="562"/>
    </row>
    <row r="27" spans="1:45" ht="25.05" customHeight="1">
      <c r="A27" s="116"/>
      <c r="B27" s="146" t="s">
        <v>950</v>
      </c>
      <c r="C27" s="146"/>
      <c r="D27" s="146"/>
      <c r="E27" s="141"/>
      <c r="F27" s="142"/>
      <c r="G27" s="143"/>
      <c r="H27" s="143"/>
      <c r="I27" s="141"/>
      <c r="J27" s="141"/>
      <c r="K27" s="141"/>
      <c r="L27" s="141"/>
      <c r="M27" s="141"/>
      <c r="N27" s="144" t="s">
        <v>594</v>
      </c>
      <c r="O27" s="141"/>
      <c r="R27" s="562" t="s">
        <v>1101</v>
      </c>
      <c r="S27" s="562"/>
      <c r="T27" s="562"/>
      <c r="U27" s="562"/>
      <c r="V27" s="562"/>
    </row>
    <row r="28" spans="1:45" ht="7.95" customHeight="1">
      <c r="A28" s="116"/>
      <c r="B28" s="116"/>
      <c r="C28" s="116"/>
      <c r="D28" s="116"/>
      <c r="E28" s="116"/>
      <c r="F28" s="116"/>
      <c r="G28" s="116"/>
      <c r="H28" s="116"/>
      <c r="I28" s="116"/>
      <c r="J28" s="116"/>
      <c r="K28" s="116"/>
      <c r="L28" s="116"/>
      <c r="M28" s="116"/>
      <c r="N28" s="116"/>
      <c r="O28" s="116"/>
      <c r="R28" s="562"/>
      <c r="S28" s="562"/>
      <c r="T28" s="562"/>
      <c r="U28" s="562"/>
      <c r="V28" s="562"/>
    </row>
    <row r="29" spans="1:45" ht="19.5" customHeight="1">
      <c r="A29" s="116"/>
      <c r="B29" s="271" t="s">
        <v>595</v>
      </c>
      <c r="C29" s="116"/>
      <c r="D29" s="116"/>
      <c r="E29" s="274" t="s">
        <v>596</v>
      </c>
      <c r="F29" s="274" t="s">
        <v>573</v>
      </c>
      <c r="G29" s="277" t="str">
        <f>IF(OR('_MB Analysis'!$I$25&lt;&gt;"OK",COUNT($G$16)&lt;&gt;1,$G$16&lt;0),"",Q44)</f>
        <v/>
      </c>
      <c r="H29" s="271" t="s">
        <v>579</v>
      </c>
      <c r="I29" s="116"/>
      <c r="J29" s="116"/>
      <c r="K29" s="116"/>
      <c r="L29" s="116"/>
      <c r="M29" s="116"/>
      <c r="N29" s="116"/>
      <c r="O29" s="116"/>
      <c r="R29" s="566" t="str">
        <f>IF('_Input Engine'!$F$4="","Fire resistance: INPUT REQUIRED at top of Beam Loading","Fire resistance: "&amp;'_Input Engine'!$F$4&amp;" hr (common). Cover from Section B Concrete Cover.")</f>
        <v>Fire resistance: INPUT REQUIRED at top of Beam Loading</v>
      </c>
      <c r="S29" s="566"/>
      <c r="T29" s="566"/>
      <c r="U29" s="566"/>
      <c r="V29" s="566"/>
    </row>
    <row r="30" spans="1:45" ht="19.5" customHeight="1">
      <c r="A30" s="116"/>
      <c r="B30" s="116"/>
      <c r="C30" s="116"/>
      <c r="D30" s="116"/>
      <c r="E30" s="274" t="s">
        <v>597</v>
      </c>
      <c r="F30" s="274" t="s">
        <v>573</v>
      </c>
      <c r="G30" s="278" t="s">
        <v>920</v>
      </c>
      <c r="H30" s="111"/>
      <c r="I30" s="116"/>
      <c r="J30" s="274" t="s">
        <v>573</v>
      </c>
      <c r="K30" s="279" t="str">
        <f>IF(OR('_MB Analysis'!$I$25&lt;&gt;"OK",COUNT($G$16)&lt;&gt;1,$G$16&lt;0),"",ROUND(G23*10^6/(G14*G29^2*G17),3))</f>
        <v/>
      </c>
      <c r="L30" s="116"/>
      <c r="M30" s="116"/>
      <c r="N30" s="280" t="s">
        <v>598</v>
      </c>
      <c r="O30" s="116"/>
      <c r="R30" s="566"/>
      <c r="S30" s="566"/>
      <c r="T30" s="566"/>
      <c r="U30" s="566"/>
      <c r="V30" s="566"/>
    </row>
    <row r="31" spans="1:45" ht="19.5" customHeight="1">
      <c r="A31" s="116"/>
      <c r="B31" s="116"/>
      <c r="C31" s="116"/>
      <c r="D31" s="116"/>
      <c r="E31" s="112"/>
      <c r="F31" s="274" t="str">
        <f>IF(OR('_MB Analysis'!$I$25&lt;&gt;"OK",COUNT($G$16)&lt;&gt;1,$G$16&lt;0),"",IF(K30&gt;K31,"&gt;","&lt;"))</f>
        <v/>
      </c>
      <c r="G31" s="112"/>
      <c r="H31" s="112"/>
      <c r="I31" s="277" t="s">
        <v>599</v>
      </c>
      <c r="J31" s="274" t="s">
        <v>573</v>
      </c>
      <c r="K31" s="279" t="str">
        <f>IF(OR('_MB Analysis'!$I$25&lt;&gt;"OK",COUNT($G$16)&lt;&gt;1,$G$16&lt;0),"",IF(G17&lt;=45,0.156,IF(G17&lt;70,0.12,0.094)))</f>
        <v/>
      </c>
      <c r="L31" s="116"/>
      <c r="M31" s="116"/>
      <c r="N31" s="280" t="s">
        <v>600</v>
      </c>
      <c r="O31" s="116"/>
      <c r="R31" s="562" t="s">
        <v>665</v>
      </c>
      <c r="S31" s="562"/>
      <c r="T31" s="562"/>
      <c r="U31" s="562"/>
      <c r="V31" s="562"/>
    </row>
    <row r="32" spans="1:45" ht="19.5" customHeight="1">
      <c r="A32" s="116"/>
      <c r="B32" s="116"/>
      <c r="C32" s="116"/>
      <c r="D32" s="277" t="s">
        <v>921</v>
      </c>
      <c r="E32" s="281" t="str">
        <f>IF(OR('_MB Analysis'!$I$25&lt;&gt;"OK",COUNT($G$16)&lt;&gt;1,$G$16&lt;0),"","Compression reinforcement is"&amp;IF(F31="&gt;"," "," not ")&amp;"required")</f>
        <v/>
      </c>
      <c r="F32" s="112"/>
      <c r="G32" s="112"/>
      <c r="H32" s="112"/>
      <c r="I32" s="113"/>
      <c r="J32" s="112"/>
      <c r="K32" s="118"/>
      <c r="L32" s="116"/>
      <c r="M32" s="116"/>
      <c r="N32" s="139"/>
      <c r="O32" s="116"/>
      <c r="R32" s="562"/>
      <c r="S32" s="562"/>
      <c r="T32" s="562"/>
      <c r="U32" s="562"/>
      <c r="V32" s="562"/>
    </row>
    <row r="33" spans="1:85" ht="19.5" customHeight="1">
      <c r="A33" s="116"/>
      <c r="B33" s="271" t="s">
        <v>956</v>
      </c>
      <c r="C33" s="116"/>
      <c r="D33" s="116"/>
      <c r="E33" s="274" t="s">
        <v>601</v>
      </c>
      <c r="F33" s="274" t="s">
        <v>573</v>
      </c>
      <c r="G33" s="278" t="str">
        <f>IF(OR('_MB Analysis'!$I$25&lt;&gt;"OK",COUNT($G$16)&lt;&gt;1,$G$16&lt;0),"","d(0.5+     0.25-"&amp;IF(K30&gt;K31,"K'","K")&amp;"/0.9)")</f>
        <v/>
      </c>
      <c r="H33" s="111"/>
      <c r="I33" s="113"/>
      <c r="J33" s="274" t="s">
        <v>573</v>
      </c>
      <c r="K33" s="282" t="str">
        <f>IF(OR('_MB Analysis'!$I$25&lt;&gt;"OK",COUNT($G$16)&lt;&gt;1,$G$16&lt;0),"",IF(K30&gt;K31,0.5+(0.25-K31/0.9)^0.5,0.5+(0.25-K30/0.9)^0.5))</f>
        <v/>
      </c>
      <c r="L33" s="271" t="s">
        <v>596</v>
      </c>
      <c r="M33" s="116"/>
      <c r="N33" s="280" t="str">
        <f>IF(OR('_MB Analysis'!$I$25&lt;&gt;"OK",COUNT($G$16)&lt;&gt;1,$G$16&lt;0),"",IF(K30&gt;K31,"…6.13","…6.10"))</f>
        <v/>
      </c>
      <c r="O33" s="116"/>
      <c r="R33" s="562" t="s">
        <v>757</v>
      </c>
      <c r="S33" s="562"/>
      <c r="T33" s="562"/>
      <c r="U33" s="562"/>
      <c r="V33" s="562"/>
    </row>
    <row r="34" spans="1:85" ht="19.5" customHeight="1">
      <c r="A34" s="116"/>
      <c r="B34" s="116"/>
      <c r="C34" s="116"/>
      <c r="D34" s="116"/>
      <c r="E34" s="112"/>
      <c r="F34" s="112"/>
      <c r="G34" s="112"/>
      <c r="H34" s="112"/>
      <c r="I34" s="113"/>
      <c r="J34" s="274" t="str">
        <f>IF(OR('_MB Analysis'!$I$25&lt;&gt;"OK",COUNT($G$16)&lt;&gt;1,$G$16&lt;0),"",IF(K33&gt;K34,"&gt;","&lt;"))</f>
        <v/>
      </c>
      <c r="K34" s="282">
        <v>0.95</v>
      </c>
      <c r="L34" s="271" t="s">
        <v>596</v>
      </c>
      <c r="M34" s="116"/>
      <c r="N34" s="139"/>
      <c r="O34" s="116"/>
      <c r="R34" s="562"/>
      <c r="S34" s="562"/>
      <c r="T34" s="562"/>
      <c r="U34" s="562"/>
      <c r="V34" s="562"/>
    </row>
    <row r="35" spans="1:85" ht="19.5" customHeight="1">
      <c r="A35" s="116"/>
      <c r="B35" s="116"/>
      <c r="C35" s="116"/>
      <c r="D35" s="277" t="s">
        <v>921</v>
      </c>
      <c r="E35" s="274" t="s">
        <v>601</v>
      </c>
      <c r="F35" s="274" t="s">
        <v>573</v>
      </c>
      <c r="G35" s="277" t="str">
        <f>IF(OR('_MB Analysis'!$I$25&lt;&gt;"OK",COUNT($G$16)&lt;&gt;1,$G$16&lt;0),"",ROUND(MIN(K33:K34)*G29,0))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|||||500|500|||0|20|40|250|150|4|8layers|RULE86</v>
      </c>
      <c r="U35" s="82"/>
      <c r="V35" s="82"/>
    </row>
    <row r="36" spans="1:85" ht="19.5" customHeight="1">
      <c r="A36" s="116"/>
      <c r="B36" s="528" t="s">
        <v>602</v>
      </c>
      <c r="C36" s="116"/>
      <c r="D36" s="113"/>
      <c r="E36" s="524" t="s">
        <v>922</v>
      </c>
      <c r="F36" s="524" t="s">
        <v>573</v>
      </c>
      <c r="G36" s="524" t="s">
        <v>923</v>
      </c>
      <c r="H36" s="525"/>
      <c r="I36" s="116"/>
      <c r="J36" s="524" t="s">
        <v>573</v>
      </c>
      <c r="K36" s="530" t="str">
        <f>IF(OR('_MB Analysis'!$I$25&lt;&gt;"OK",COUNT($G$16)&lt;&gt;1,$G$16&lt;0),"",ROUND(IF(K30&gt;K31,((K30-K31)*G17*G14*G29^2)/(0.87*G18*(Q44-Q40)),0),0))</f>
        <v/>
      </c>
      <c r="L36" s="532" t="s">
        <v>916</v>
      </c>
      <c r="M36" s="114"/>
      <c r="N36" s="534" t="s">
        <v>603</v>
      </c>
      <c r="O36" s="116"/>
      <c r="R36" s="82"/>
      <c r="S36" s="82"/>
      <c r="T36" s="83" t="s">
        <v>1013</v>
      </c>
      <c r="U36" s="82"/>
      <c r="V36" s="82"/>
      <c r="BR36" s="492" t="s">
        <v>1111</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P37" s="80"/>
      <c r="R37" s="82"/>
      <c r="S37" s="82"/>
      <c r="T37" s="83">
        <v>6</v>
      </c>
      <c r="U37" s="82"/>
      <c r="V37" s="82"/>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IF(OR('_MB Analysis'!$I$25&lt;&gt;"OK",COUNT($G$16)&lt;&gt;1,$G$16&lt;0),"",IF(K30&gt;K31,"K' fcu b d²)","M"))</f>
        <v/>
      </c>
      <c r="H38" s="525"/>
      <c r="I38" s="528" t="str">
        <f>IF(OR('_MB Analysis'!$I$25&lt;&gt;"OK",COUNT($G$16)&lt;&gt;1,$G$16&lt;0),"",IF(K30&gt;K31," + As'",""))</f>
        <v/>
      </c>
      <c r="J38" s="524" t="s">
        <v>573</v>
      </c>
      <c r="K38" s="530" t="str">
        <f>IF(OR('_MB Analysis'!$I$25&lt;&gt;"OK",COUNT($G$16)&lt;&gt;1,$G$16&lt;0),"",ROUND(IF(K30&gt;K31,K31*G17*G14*G29^2/(0.87*G18*G35)+K36,G23*10^6/(0.87*G18*G35)),0))</f>
        <v/>
      </c>
      <c r="L38" s="532" t="s">
        <v>916</v>
      </c>
      <c r="M38" s="114"/>
      <c r="N38" s="534" t="str">
        <f>IF(OR('_MB Analysis'!$I$25&lt;&gt;"OK",COUNT($G$16)&lt;&gt;1,$G$16&lt;0),"",IF(K30&gt;K31,"…6.16","…6.12"))</f>
        <v/>
      </c>
      <c r="O38" s="116"/>
      <c r="R38" s="567" t="str">
        <f>IF(IFERROR(INDEX('_MB Analysis'!BF6:BF25,T37-5),"")="MANUAL","MANUAL mode: adopted steel retained.","AUTO mode: inputs trigger reinforcement selection.")</f>
        <v>AUTO mode: inputs trigger reinforcement selection.</v>
      </c>
      <c r="S38" s="567"/>
      <c r="T38" s="567"/>
      <c r="U38" s="567"/>
      <c r="V38" s="567"/>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567"/>
      <c r="S39" s="567"/>
      <c r="T39" s="567"/>
      <c r="U39" s="567"/>
      <c r="V39" s="567"/>
      <c r="BR39" s="493"/>
      <c r="BS39" s="493"/>
      <c r="BT39" s="493"/>
      <c r="BU39" s="493"/>
      <c r="BV39" s="493"/>
      <c r="BW39" s="493"/>
      <c r="BX39" s="493"/>
      <c r="BY39" s="493"/>
      <c r="BZ39" s="493"/>
      <c r="CA39" s="493"/>
      <c r="CB39" s="493"/>
      <c r="CC39" s="493"/>
      <c r="CD39" s="493"/>
      <c r="CE39" s="493"/>
      <c r="CF39" s="493"/>
      <c r="CG39" s="493"/>
    </row>
    <row r="40" spans="1:85" ht="19.5" customHeight="1">
      <c r="A40" s="116"/>
      <c r="B40" s="271" t="s">
        <v>606</v>
      </c>
      <c r="C40" s="304">
        <v>11</v>
      </c>
      <c r="D40" s="305">
        <v>40</v>
      </c>
      <c r="E40" s="274" t="s">
        <v>926</v>
      </c>
      <c r="F40" s="274" t="s">
        <v>573</v>
      </c>
      <c r="G40" s="271" t="str">
        <f>IF(OR('_MB Analysis'!$I$25&lt;&gt;"OK",COUNT($G$16)&lt;&gt;1,$G$16&lt;0),"",ROUND(MBBeamSteelArea(40,$C$40:$D$47,$C$110:$D$117,$G$14:$G$16,$G$58),0))</f>
        <v/>
      </c>
      <c r="H40" s="271" t="s">
        <v>362</v>
      </c>
      <c r="I40" s="285" t="str">
        <f>IF(OR('_MB Analysis'!$I$25&lt;&gt;"OK",COUNT($G$16)&lt;&gt;1,$G$16&lt;0),"",", "&amp;ROUND(G40/(G14*G15)*100,2)&amp;"%)")</f>
        <v/>
      </c>
      <c r="J40" s="116"/>
      <c r="K40" s="112"/>
      <c r="L40" s="119"/>
      <c r="M40" s="119"/>
      <c r="N40" s="286" t="str">
        <f>IF(OR('_MB Analysis'!$I$25&lt;&gt;"OK",COUNT($G$16)&lt;&gt;1,$G$16&lt;0),"",IF(OR(NOT(MBBeamBarsFit(40,$C$40:$D$47,$C$110:$D$117,$G$14:$G$16,$G$58)),G40/(G14*G15)*100&gt;MIN(4,T11)),"NOT OKAY",IF(G40=0,"NOT OKAY",IF((K36&gt;G40),"NOT OKAY",IF(ROUND(G40/(G14*G15)*100,2)&lt;IF(K36=0,0.13,0.2),"NOT OKAY",IF(ROUND(G40/(G14*G15)*100,2)&gt;T11,"NOT OKAY","OKAY"))))))</f>
        <v/>
      </c>
      <c r="O40" s="132"/>
      <c r="P40" s="70" t="str">
        <f>IF(OR('_MB Analysis'!$I$25&lt;&gt;"OK",COUNT($G$16)&lt;&gt;1,$G$16&lt;0),"",MBBeamLayerDepth(40,0,$C$40:$D$47,$C$110:$D$117,$G$14:$G$16,$G$58))</f>
        <v/>
      </c>
      <c r="Q40" s="70" t="str">
        <f>IF(OR('_MB Analysis'!$I$25&lt;&gt;"OK",COUNT($G$16)&lt;&gt;1,$G$16&lt;0),"",MBBeamDepth(40,$C$40:$D$47,$C$110:$D$117,$G$14:$G$16,$G$58))</f>
        <v/>
      </c>
      <c r="R40" s="568" t="str">
        <f>IF(AND((IFERROR(IF('_MB Analysis'!I25&lt;&gt;"OK","INPUT REQUIRED",IF(OR(G16="",NOT(ISNUMBER(G16)),G16&lt;0,AND(G13&lt;&gt;"",NOT(ISNUMBER(G13))),G13&lt;0),"INPUT REQUIRED",IF(LEFT(R24,12)="AUTO STOPPED","REVIEW REQUIRED",IF(T21="OKAY","OKAY","NOT OKAY")))),"REVIEW REQUIRED"))="OKAY",NOT(BarSizeRule84(C40:D47,C110:D117))),"REVIEW: BAR SIZE RULE",IFERROR(IF('_MB Analysis'!I25&lt;&gt;"OK","INPUT REQUIRED",IF(OR(G16="",NOT(ISNUMBER(G16)),G16&lt;0,AND(G13&lt;&gt;"",NOT(ISNUMBER(G13))),G13&lt;0),"INPUT REQUIRED",IF(LEFT(R24,12)="AUTO STOPPED","REVIEW REQUIRED",IF(T21="OKAY","OKAY","NOT OKAY")))),"REVIEW REQUIRED"))</f>
        <v>INPUT REQUIRED</v>
      </c>
      <c r="S40" s="568"/>
      <c r="T40" s="568"/>
      <c r="U40" s="568"/>
      <c r="V40" s="568"/>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v>11</v>
      </c>
      <c r="D41" s="305">
        <v>40</v>
      </c>
      <c r="E41" s="116"/>
      <c r="F41" s="116"/>
      <c r="G41" s="116"/>
      <c r="H41" s="116"/>
      <c r="I41" s="116"/>
      <c r="J41" s="116"/>
      <c r="K41" s="112"/>
      <c r="L41" s="119"/>
      <c r="M41" s="119"/>
      <c r="N41" s="538" t="str">
        <f>IF(OR('_MB Analysis'!$I$25&lt;&gt;"OK",COUNT($G$16)&lt;&gt;1,$G$16&lt;0),"",IF(K36=0,"",IF((K36&gt;G40),"(Increase As')",IF(ROUND(G40/(G14*G15)*100,2)&lt;0.2,"(Increase As')",IF(ROUND(G40/(G14*G15)*100,2)&gt;4,"(Decrease As')","")))))</f>
        <v/>
      </c>
      <c r="O41" s="539"/>
      <c r="P41" s="70" t="str">
        <f>IF(OR('_MB Analysis'!$I$25&lt;&gt;"OK",COUNT($G$16)&lt;&gt;1,$G$16&lt;0),"",MBBeamLayerDepth(40,1,$C$40:$D$47,$C$110:$D$117,$G$14:$G$16,$G$58))</f>
        <v/>
      </c>
      <c r="R41" s="568"/>
      <c r="S41" s="568"/>
      <c r="T41" s="568"/>
      <c r="U41" s="568"/>
      <c r="V41" s="568"/>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v>11</v>
      </c>
      <c r="D42" s="305">
        <v>40</v>
      </c>
      <c r="E42" s="116"/>
      <c r="F42" s="116"/>
      <c r="G42" s="116"/>
      <c r="H42" s="116"/>
      <c r="I42" s="116"/>
      <c r="J42" s="116"/>
      <c r="K42" s="112"/>
      <c r="L42" s="119"/>
      <c r="M42" s="119"/>
      <c r="N42" s="116"/>
      <c r="O42" s="113"/>
      <c r="P42" s="70" t="str">
        <f>IF(OR('_MB Analysis'!$I$25&lt;&gt;"OK",COUNT($G$16)&lt;&gt;1,$G$16&lt;0),"",MBBeamLayerDepth(40,2,$C$40:$D$47,$C$110:$D$117,$G$14:$G$16,$G$58))</f>
        <v/>
      </c>
      <c r="R42"/>
      <c r="S42"/>
      <c r="T42"/>
      <c r="U42"/>
    </row>
    <row r="43" spans="1:85" ht="19.5" customHeight="1">
      <c r="A43" s="116"/>
      <c r="B43" s="277" t="s">
        <v>609</v>
      </c>
      <c r="C43" s="304">
        <v>11</v>
      </c>
      <c r="D43" s="305">
        <v>40</v>
      </c>
      <c r="E43" s="116"/>
      <c r="F43" s="116"/>
      <c r="G43" s="116"/>
      <c r="H43" s="116"/>
      <c r="I43" s="116"/>
      <c r="J43" s="116"/>
      <c r="K43" s="112"/>
      <c r="L43" s="119"/>
      <c r="M43" s="119"/>
      <c r="N43" s="116"/>
      <c r="O43" s="113"/>
      <c r="P43" s="70" t="str">
        <f>IF(OR('_MB Analysis'!$I$25&lt;&gt;"OK",COUNT($G$16)&lt;&gt;1,$G$16&lt;0),"",MBBeamLayerDepth(40,3,$C$40:$D$47,$C$110:$D$117,$G$14:$G$16,$G$58))</f>
        <v/>
      </c>
      <c r="R43"/>
      <c r="S43"/>
      <c r="T43"/>
      <c r="U43"/>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11</v>
      </c>
      <c r="D44" s="305">
        <v>40</v>
      </c>
      <c r="E44" s="274" t="s">
        <v>927</v>
      </c>
      <c r="F44" s="274" t="s">
        <v>573</v>
      </c>
      <c r="G44" s="271" t="str">
        <f>IF(OR('_MB Analysis'!$I$25&lt;&gt;"OK",COUNT($G$16)&lt;&gt;1,$G$16&lt;0),"",ROUND(MBBeamSteelArea(44,$C$40:$D$47,$C$110:$D$117,$G$14:$G$16,$G$58),0))</f>
        <v/>
      </c>
      <c r="H44" s="271" t="s">
        <v>362</v>
      </c>
      <c r="I44" s="285" t="str">
        <f>IF(OR('_MB Analysis'!$I$25&lt;&gt;"OK",COUNT($G$16)&lt;&gt;1,$G$16&lt;0),"",", "&amp;ROUND(G44/(G14*G15)*100,2)&amp;"%)")</f>
        <v/>
      </c>
      <c r="J44" s="116"/>
      <c r="K44" s="116"/>
      <c r="L44" s="116"/>
      <c r="M44" s="116"/>
      <c r="N44" s="286" t="str">
        <f>IF(OR('_MB Analysis'!$I$25&lt;&gt;"OK",COUNT($G$16)&lt;&gt;1,$G$16&lt;0),"",IF(OR(NOT(MBBeamBarsFit(44,$C$40:$D$47,$C$110:$D$117,$G$14:$G$16,$G$58)),G44/(G14*G15)*100&gt;MIN(4,T11)),"NOT OKAY",IF((G44&gt;=K38)*AND(ROUND(G44/(G14*G15)*100,2)&gt;0.13)*AND(G44/(G14*G15)*100&lt;=MIN(4,T11)),"OKAY","NOT OKAY")))</f>
        <v/>
      </c>
      <c r="O44" s="132"/>
      <c r="P44" s="70" t="str">
        <f>IF(OR('_MB Analysis'!$I$25&lt;&gt;"OK",COUNT($G$16)&lt;&gt;1,$G$16&lt;0),"",MBBeamLayerDepth(44,0,$C$40:$D$47,$C$110:$D$117,$G$14:$G$16,$G$58))</f>
        <v/>
      </c>
      <c r="Q44" s="70" t="str">
        <f>IF(OR('_MB Analysis'!$I$25&lt;&gt;"OK",COUNT($G$16)&lt;&gt;1,$G$16&lt;0),"",MBBeamDepth(44,$C$40:$D$47,$C$110:$D$117,$G$14:$G$16,$G$58))</f>
        <v/>
      </c>
      <c r="R44"/>
      <c r="S44"/>
      <c r="T44"/>
      <c r="U44"/>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v>11</v>
      </c>
      <c r="D45" s="305">
        <v>40</v>
      </c>
      <c r="E45" s="116"/>
      <c r="F45" s="112"/>
      <c r="G45" s="116"/>
      <c r="H45" s="116"/>
      <c r="I45" s="116"/>
      <c r="J45" s="116"/>
      <c r="K45" s="116"/>
      <c r="L45" s="116"/>
      <c r="M45" s="116"/>
      <c r="N45" s="538" t="str">
        <f>IF(OR('_MB Analysis'!$I$25&lt;&gt;"OK",COUNT($G$16)&lt;&gt;1,$G$16&lt;0),"",IF((K38&gt;G44),"(Increase As)",IF(ROUND(G44/(G14*G15)*100,2)&lt;0.13,"(Increase As)",IF(ROUND(G44/(G14*G15)*100,2)&gt;4,"(Decrease As)",""))))</f>
        <v/>
      </c>
      <c r="O45" s="539"/>
      <c r="P45" s="70" t="str">
        <f>IF(OR('_MB Analysis'!$I$25&lt;&gt;"OK",COUNT($G$16)&lt;&gt;1,$G$16&lt;0),"",MBBeamLayerDepth(44,1,$C$40:$D$47,$C$110:$D$117,$G$14:$G$16,$G$58))</f>
        <v/>
      </c>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v>11</v>
      </c>
      <c r="D46" s="305">
        <v>40</v>
      </c>
      <c r="E46" s="116"/>
      <c r="F46" s="116"/>
      <c r="G46" s="116"/>
      <c r="H46" s="116"/>
      <c r="I46" s="116"/>
      <c r="J46" s="116"/>
      <c r="K46" s="116"/>
      <c r="L46" s="116"/>
      <c r="M46" s="116"/>
      <c r="N46" s="116"/>
      <c r="O46" s="116"/>
      <c r="P46" s="70" t="str">
        <f>IF(OR('_MB Analysis'!$I$25&lt;&gt;"OK",COUNT($G$16)&lt;&gt;1,$G$16&lt;0),"",MBBeamLayerDepth(44,2,$C$40:$D$47,$C$110:$D$117,$G$14:$G$16,$G$58))</f>
        <v/>
      </c>
    </row>
    <row r="47" spans="1:85" ht="19.5" customHeight="1">
      <c r="A47" s="116"/>
      <c r="B47" s="277" t="s">
        <v>609</v>
      </c>
      <c r="C47" s="304">
        <v>11</v>
      </c>
      <c r="D47" s="305">
        <v>40</v>
      </c>
      <c r="E47" s="116"/>
      <c r="F47" s="116"/>
      <c r="G47" s="116"/>
      <c r="H47" s="116"/>
      <c r="I47" s="116"/>
      <c r="J47" s="116"/>
      <c r="K47" s="116"/>
      <c r="L47" s="116"/>
      <c r="M47" s="116"/>
      <c r="N47" s="116"/>
      <c r="O47" s="113"/>
      <c r="P47" s="70" t="str">
        <f>IF(OR('_MB Analysis'!$I$25&lt;&gt;"OK",COUNT($G$16)&lt;&gt;1,$G$16&lt;0),"",MBBeamLayerDepth(44,3,$C$40:$D$47,$C$110:$D$117,$G$14:$G$16,$G$58))</f>
        <v/>
      </c>
    </row>
    <row r="48" spans="1:85" ht="7.95" customHeight="1">
      <c r="A48" s="116"/>
      <c r="B48" s="116"/>
      <c r="C48" s="113"/>
      <c r="D48" s="119"/>
      <c r="E48" s="116"/>
      <c r="F48" s="116"/>
      <c r="G48" s="116"/>
      <c r="H48" s="116"/>
      <c r="I48" s="116"/>
      <c r="J48" s="116"/>
      <c r="K48" s="112"/>
      <c r="L48" s="119"/>
      <c r="M48" s="119"/>
      <c r="N48" s="116"/>
      <c r="O48" s="113"/>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BR49" s="484" t="s">
        <v>1004</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IF(OR('_MB Analysis'!$I$25&lt;&gt;"OK",COUNT($G$16)&lt;&gt;1,$G$16&lt;0),"",ROUND(G24*1000/(G14*G29),3))</f>
        <v/>
      </c>
      <c r="L51" s="289" t="s">
        <v>585</v>
      </c>
      <c r="M51" s="119"/>
      <c r="N51" s="280" t="s">
        <v>615</v>
      </c>
      <c r="O51" s="113"/>
      <c r="P51" s="70">
        <v>300</v>
      </c>
      <c r="Q51" s="70" t="str">
        <f>IF(OR('_MB Analysis'!$I$25&lt;&gt;"OK",COUNT($G$16)&lt;&gt;1,$G$16&lt;0),"",MIN(P51,$T$9))</f>
        <v/>
      </c>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IF(OR('_MB Analysis'!$I$25&lt;&gt;"OK",COUNT($G$16)&lt;&gt;1,$G$16&lt;0),"",IF(K51&gt;G52,"&gt;","&lt;"))</f>
        <v/>
      </c>
      <c r="G52" s="290">
        <v>7</v>
      </c>
      <c r="H52" s="289" t="s">
        <v>585</v>
      </c>
      <c r="I52" s="116"/>
      <c r="J52" s="274" t="str">
        <f>IF(OR('_MB Analysis'!$I$25&lt;&gt;"OK",COUNT($G$16)&lt;&gt;1,$G$16&lt;0),"",IF(K51&gt;(0.8*G17^0.5),"&gt;","&lt;"))</f>
        <v/>
      </c>
      <c r="K52" s="278" t="s">
        <v>928</v>
      </c>
      <c r="L52" s="119"/>
      <c r="M52" s="119"/>
      <c r="N52" s="286" t="str">
        <f>IF(OR('_MB Analysis'!$I$25&lt;&gt;"OK",COUNT($G$16)&lt;&gt;1,$G$16&lt;0),"",IF(K51&lt;(MIN(G52,0.8*G17^0.5)),"OKAY","NOT OKAY"))</f>
        <v/>
      </c>
      <c r="O52" s="291" t="str">
        <f>IF(OR('_MB Analysis'!$I$25&lt;&gt;"OK",COUNT($G$16)&lt;&gt;1,$G$16&lt;0),"",IF(K51&lt;(MIN(G52,0.8*G17^0.5)),"","Provide large section"))</f>
        <v/>
      </c>
      <c r="P52" s="70">
        <v>275</v>
      </c>
      <c r="Q52" s="70" t="str">
        <f>IF(OR('_MB Analysis'!$I$25&lt;&gt;"OK",COUNT($G$16)&lt;&gt;1,$G$16&lt;0),"",MIN(P52,$T$9))</f>
        <v/>
      </c>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IF(OR('_MB Analysis'!$I$25&lt;&gt;"OK",COUNT($G$16)&lt;&gt;1,$G$16&lt;0),"",ROUND(0.79*(MIN(3,100*G44/(G14*G29)))^(1/3)*(MAX(1,(400/G29)^(1/4)))/1.25*((G17/25)^(1/3)),2))</f>
        <v/>
      </c>
      <c r="H53" s="289" t="s">
        <v>585</v>
      </c>
      <c r="I53" s="116"/>
      <c r="J53" s="116"/>
      <c r="K53" s="145"/>
      <c r="L53" s="116"/>
      <c r="M53" s="116"/>
      <c r="N53" s="280" t="s">
        <v>617</v>
      </c>
      <c r="O53" s="113"/>
      <c r="P53" s="70">
        <v>250</v>
      </c>
      <c r="Q53" s="70" t="str">
        <f>IF(OR('_MB Analysis'!$I$25&lt;&gt;"OK",COUNT($G$16)&lt;&gt;1,$G$16&lt;0),"",MIN(P53,$T$9))</f>
        <v/>
      </c>
    </row>
    <row r="54" spans="1:85" ht="19.5" customHeight="1">
      <c r="A54" s="116"/>
      <c r="B54" s="271" t="s">
        <v>618</v>
      </c>
      <c r="C54" s="113"/>
      <c r="D54" s="119"/>
      <c r="E54" s="274" t="s">
        <v>930</v>
      </c>
      <c r="F54" s="274" t="s">
        <v>573</v>
      </c>
      <c r="G54" s="288" t="str">
        <f>IF(OR('_MB Analysis'!$I$25&lt;&gt;"OK",COUNT($G$16)&lt;&gt;1,$G$16&lt;0),"",MIN(MAX(0.4,0.4*(G17/40)^(2/3)),0.4*(80/40)^(2/3)))</f>
        <v/>
      </c>
      <c r="H54" s="289" t="s">
        <v>585</v>
      </c>
      <c r="I54" s="116"/>
      <c r="J54" s="116"/>
      <c r="K54" s="116"/>
      <c r="L54" s="116"/>
      <c r="M54" s="116"/>
      <c r="N54" s="280" t="s">
        <v>619</v>
      </c>
      <c r="O54" s="113"/>
      <c r="P54" s="70">
        <v>225</v>
      </c>
      <c r="Q54" s="70" t="str">
        <f>IF(OR('_MB Analysis'!$I$25&lt;&gt;"OK",COUNT($G$16)&lt;&gt;1,$G$16&lt;0),"",MIN(P54,$T$9))</f>
        <v/>
      </c>
    </row>
    <row r="55" spans="1:85" ht="19.5" customHeight="1">
      <c r="A55" s="116"/>
      <c r="B55" s="116"/>
      <c r="C55" s="113"/>
      <c r="D55" s="119"/>
      <c r="E55" s="112"/>
      <c r="F55" s="112"/>
      <c r="G55" s="292" t="str">
        <f>IF(OR('_MB Analysis'!$I$25&lt;&gt;"OK",COUNT($G$16)&lt;&gt;1,$G$16&lt;0),"",IF(0.5*G53&gt;K51,"v &lt; 0.5vc",IF(G53+G54&gt;K51,"0.5vc &lt; v &lt; vc+vr","vc+vr &lt; v &lt; 0.8fcu^.5 or 7")))</f>
        <v/>
      </c>
      <c r="H55" s="119"/>
      <c r="I55" s="116"/>
      <c r="J55" s="116"/>
      <c r="K55" s="116"/>
      <c r="L55" s="116"/>
      <c r="M55" s="116"/>
      <c r="N55" s="139"/>
      <c r="O55" s="113"/>
      <c r="P55" s="70">
        <v>200</v>
      </c>
      <c r="Q55" s="70" t="str">
        <f>IF(OR('_MB Analysis'!$I$25&lt;&gt;"OK",COUNT($G$16)&lt;&gt;1,$G$16&lt;0),"",MIN(P55,$T$9))</f>
        <v/>
      </c>
    </row>
    <row r="56" spans="1:85" ht="19.5" customHeight="1">
      <c r="A56" s="116"/>
      <c r="B56" s="528" t="s">
        <v>620</v>
      </c>
      <c r="C56" s="525"/>
      <c r="D56" s="530" t="s">
        <v>931</v>
      </c>
      <c r="E56" s="274" t="s">
        <v>932</v>
      </c>
      <c r="F56" s="524" t="s">
        <v>573</v>
      </c>
      <c r="G56" s="540" t="str">
        <f>IF(OR('_MB Analysis'!$I$25&lt;&gt;"OK",COUNT($G$16)&lt;&gt;1,$G$16&lt;0),"",IF((G54+G53)&gt;K51,"vr b "," b (v-vc)"))</f>
        <v/>
      </c>
      <c r="H56" s="525"/>
      <c r="I56" s="116"/>
      <c r="J56" s="524" t="s">
        <v>573</v>
      </c>
      <c r="K56" s="541" t="str">
        <f>IF(OR('_MB Analysis'!$I$25&lt;&gt;"OK",COUNT($G$16)&lt;&gt;1,$G$16&lt;0),"",ROUND(IF(G53+G54&gt;K51,G54*G14/(0.87*G19),(K51-G53)*G14/(0.87*G19)),3))</f>
        <v/>
      </c>
      <c r="L56" s="271" t="s">
        <v>362</v>
      </c>
      <c r="M56" s="116"/>
      <c r="N56" s="139"/>
      <c r="O56" s="113"/>
      <c r="P56" s="70">
        <v>175</v>
      </c>
      <c r="Q56" s="70" t="str">
        <f>IF(OR('_MB Analysis'!$I$25&lt;&gt;"OK",COUNT($G$16)&lt;&gt;1,$G$16&lt;0),"",MIN(P56,$T$9))</f>
        <v/>
      </c>
    </row>
    <row r="57" spans="1:85" ht="19.5" customHeight="1">
      <c r="A57" s="116"/>
      <c r="B57" s="529"/>
      <c r="C57" s="525"/>
      <c r="D57" s="531"/>
      <c r="E57" s="283" t="s">
        <v>933</v>
      </c>
      <c r="F57" s="525"/>
      <c r="G57" s="536" t="s">
        <v>934</v>
      </c>
      <c r="H57" s="537"/>
      <c r="I57" s="116"/>
      <c r="J57" s="525"/>
      <c r="K57" s="542"/>
      <c r="L57" s="293" t="s">
        <v>579</v>
      </c>
      <c r="M57" s="116"/>
      <c r="N57" s="139"/>
      <c r="O57" s="113"/>
      <c r="P57" s="70">
        <v>150</v>
      </c>
      <c r="Q57" s="70" t="str">
        <f>IF(OR('_MB Analysis'!$I$25&lt;&gt;"OK",COUNT($G$16)&lt;&gt;1,$G$16&lt;0),"",MIN(P57,$T$9))</f>
        <v/>
      </c>
    </row>
    <row r="58" spans="1:85" ht="19.5" customHeight="1">
      <c r="A58" s="116"/>
      <c r="B58" s="271" t="s">
        <v>621</v>
      </c>
      <c r="C58" s="116"/>
      <c r="D58" s="116"/>
      <c r="E58" s="306" t="str">
        <f>IF(OR('_MB Analysis'!$I$25&lt;&gt;"OK",COUNT($G$16)&lt;&gt;1,$G$16&lt;0),"",MAX(2,MAX(C40:C47,C110:C117)))</f>
        <v/>
      </c>
      <c r="F58" s="271" t="s">
        <v>622</v>
      </c>
      <c r="G58" s="307">
        <v>12</v>
      </c>
      <c r="H58" s="308">
        <v>100</v>
      </c>
      <c r="I58" s="274" t="s">
        <v>932</v>
      </c>
      <c r="J58" s="524" t="s">
        <v>573</v>
      </c>
      <c r="K58" s="543" t="str">
        <f>IF(OR('_MB Analysis'!$I$25&lt;&gt;"OK",COUNT($G$16)&lt;&gt;1,$G$16&lt;0),"",IF(H58=0,0,ROUND(G58^2*PI()/4/H58*E58,3)))</f>
        <v/>
      </c>
      <c r="L58" s="271" t="s">
        <v>362</v>
      </c>
      <c r="M58" s="116"/>
      <c r="N58" s="116"/>
      <c r="O58" s="113"/>
      <c r="P58" s="70">
        <v>125</v>
      </c>
      <c r="Q58" s="70" t="str">
        <f>IF(OR('_MB Analysis'!$I$25&lt;&gt;"OK",COUNT($G$16)&lt;&gt;1,$G$16&lt;0),"",MIN(P58,$T$9))</f>
        <v/>
      </c>
    </row>
    <row r="59" spans="1:85" ht="19.5" customHeight="1">
      <c r="A59" s="116"/>
      <c r="B59" s="116"/>
      <c r="C59" s="116"/>
      <c r="D59" s="116"/>
      <c r="E59" s="112"/>
      <c r="F59" s="112"/>
      <c r="G59" s="121"/>
      <c r="H59" s="121"/>
      <c r="I59" s="283" t="s">
        <v>933</v>
      </c>
      <c r="J59" s="525"/>
      <c r="K59" s="542"/>
      <c r="L59" s="293" t="s">
        <v>579</v>
      </c>
      <c r="M59" s="116"/>
      <c r="N59" s="286" t="str">
        <f>IF(OR('_MB Analysis'!$I$25&lt;&gt;"OK",COUNT($G$16)&lt;&gt;1,$G$16&lt;0),"",IF(K58&gt;K56,IF(H58&lt;0.75*G29,"OKAY","NOT OKAY"),"NOT OKAY"))</f>
        <v/>
      </c>
      <c r="O59" s="291" t="str">
        <f>IF(OR('_MB Analysis'!$I$25&lt;&gt;"OK",COUNT($G$16)&lt;&gt;1,$G$16&lt;0),"",IF(K58&gt;K56,IF(H58&lt;0.75*G29,"","Increase space"),"Provide more links"))</f>
        <v/>
      </c>
      <c r="P59" s="70">
        <v>100</v>
      </c>
      <c r="Q59" s="70" t="str">
        <f>IF(OR('_MB Analysis'!$I$25&lt;&gt;"OK",COUNT($G$16)&lt;&gt;1,$G$16&lt;0),"",MIN(P59,$T$9))</f>
        <v/>
      </c>
    </row>
    <row r="60" spans="1:85" ht="7.95" customHeight="1">
      <c r="A60" s="116"/>
      <c r="B60" s="116"/>
      <c r="C60" s="113"/>
      <c r="D60" s="119"/>
      <c r="E60" s="116"/>
      <c r="F60" s="116"/>
      <c r="G60" s="116"/>
      <c r="H60" s="116"/>
      <c r="I60" s="116"/>
      <c r="J60" s="116"/>
      <c r="K60" s="112"/>
      <c r="L60" s="119"/>
      <c r="M60" s="119"/>
      <c r="N60" s="116"/>
      <c r="O60" s="113"/>
      <c r="P60" s="294" t="str">
        <f>IF(OR('_MB Analysis'!$I$25&lt;&gt;"OK",COUNT($G$16)&lt;&gt;1,$G$16&lt;0),"","T"&amp;G58&amp;"-"&amp;H58&amp;"("&amp;E58&amp;" "&amp;F58&amp;")")</f>
        <v/>
      </c>
    </row>
    <row r="61" spans="1:85" ht="25.05" customHeight="1">
      <c r="A61" s="116"/>
      <c r="B61" s="146" t="s">
        <v>952</v>
      </c>
      <c r="C61" s="146"/>
      <c r="D61" s="146"/>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24" t="s">
        <v>935</v>
      </c>
      <c r="F63" s="524" t="s">
        <v>573</v>
      </c>
      <c r="G63" s="524" t="s">
        <v>625</v>
      </c>
      <c r="H63" s="525"/>
      <c r="I63" s="525"/>
      <c r="J63" s="524" t="s">
        <v>573</v>
      </c>
      <c r="K63" s="543" t="str">
        <f>IF(OR('_MB Analysis'!$I$25&lt;&gt;"OK",COUNT($G$16)&lt;&gt;1,$G$16&lt;0),"",ROUND(2*K25*10^6/(MIN(G14:G15)^2*(MAX(G14:G15)-MIN(G14:G15)/3)),3))</f>
        <v/>
      </c>
      <c r="L63" s="528" t="s">
        <v>626</v>
      </c>
      <c r="M63" s="111"/>
      <c r="N63" s="534" t="s">
        <v>627</v>
      </c>
      <c r="O63" s="116"/>
    </row>
    <row r="64" spans="1:85" ht="19.5" customHeight="1">
      <c r="A64" s="116"/>
      <c r="B64" s="116"/>
      <c r="C64" s="116"/>
      <c r="D64" s="116"/>
      <c r="E64" s="525"/>
      <c r="F64" s="525"/>
      <c r="G64" s="536" t="s">
        <v>936</v>
      </c>
      <c r="H64" s="537"/>
      <c r="I64" s="537"/>
      <c r="J64" s="525"/>
      <c r="K64" s="531"/>
      <c r="L64" s="529"/>
      <c r="M64" s="111"/>
      <c r="N64" s="535"/>
      <c r="O64" s="116"/>
    </row>
    <row r="65" spans="1:19" ht="19.5" customHeight="1">
      <c r="A65" s="116"/>
      <c r="B65" s="271" t="s">
        <v>628</v>
      </c>
      <c r="C65" s="116"/>
      <c r="D65" s="116"/>
      <c r="E65" s="274" t="s">
        <v>937</v>
      </c>
      <c r="F65" s="274" t="s">
        <v>573</v>
      </c>
      <c r="G65" s="271" t="str">
        <f>IF(OR('_MB Analysis'!$I$25&lt;&gt;"OK",COUNT($G$16)&lt;&gt;1,$G$16&lt;0),"",ROUND(MIN(0.6,0.067*G17^0.5),3))</f>
        <v/>
      </c>
      <c r="H65" s="289" t="s">
        <v>585</v>
      </c>
      <c r="I65" s="116"/>
      <c r="J65" s="112"/>
      <c r="K65" s="131"/>
      <c r="L65" s="116"/>
      <c r="M65" s="116"/>
      <c r="N65" s="534" t="s">
        <v>629</v>
      </c>
      <c r="O65" s="116"/>
      <c r="S65" s="70" t="str">
        <f>IF(OR('_MB Analysis'!$I$25&lt;&gt;"OK",COUNT($G$16)&lt;&gt;1,$G$16&lt;0),"",1000/6)</f>
        <v/>
      </c>
    </row>
    <row r="66" spans="1:19" ht="19.5" customHeight="1">
      <c r="A66" s="116"/>
      <c r="B66" s="271" t="s">
        <v>630</v>
      </c>
      <c r="C66" s="116"/>
      <c r="D66" s="116"/>
      <c r="E66" s="274" t="s">
        <v>938</v>
      </c>
      <c r="F66" s="274" t="s">
        <v>573</v>
      </c>
      <c r="G66" s="271" t="str">
        <f>IF(OR('_MB Analysis'!$I$25&lt;&gt;"OK",COUNT($G$16)&lt;&gt;1,$G$16&lt;0),"",ROUND(MIN(7,0.8*G17^0.5),3))</f>
        <v/>
      </c>
      <c r="H66" s="289" t="s">
        <v>585</v>
      </c>
      <c r="I66" s="116"/>
      <c r="J66" s="112"/>
      <c r="K66" s="131"/>
      <c r="L66" s="116"/>
      <c r="M66" s="116"/>
      <c r="N66" s="535"/>
      <c r="O66" s="116"/>
    </row>
    <row r="67" spans="1:19" ht="19.5" customHeight="1">
      <c r="A67" s="116"/>
      <c r="B67" s="278" t="s">
        <v>631</v>
      </c>
      <c r="C67" s="111"/>
      <c r="D67" s="111"/>
      <c r="E67" s="284" t="s">
        <v>939</v>
      </c>
      <c r="F67" s="274" t="s">
        <v>573</v>
      </c>
      <c r="G67" s="295" t="str">
        <f>IF(OR('_MB Analysis'!$I$25&lt;&gt;"OK",COUNT($G$16)&lt;&gt;1,$G$16&lt;0),"",MIN(G14:G15)-2*G16-G58)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IF(OR('_MB Analysis'!$I$25&lt;&gt;"OK",COUNT($G$16)&lt;&gt;1,$G$16&lt;0),"",MAX(G14:G15)-2*G16-G58)</f>
        <v/>
      </c>
      <c r="H68" s="295" t="s">
        <v>579</v>
      </c>
      <c r="I68" s="116"/>
      <c r="J68" s="116"/>
      <c r="K68" s="116"/>
      <c r="L68" s="116"/>
      <c r="M68" s="116"/>
      <c r="N68" s="116"/>
      <c r="O68" s="116"/>
    </row>
    <row r="69" spans="1:19" ht="19.5" customHeight="1">
      <c r="A69" s="116"/>
      <c r="B69" s="277" t="s">
        <v>941</v>
      </c>
      <c r="C69" s="274" t="str">
        <f>IF(OR('_MB Analysis'!$I$25&lt;&gt;"OK",COUNT($G$16)&lt;&gt;1,$G$16&lt;0),"",IF(K51+K63&gt;G66,"&gt;","&lt;"))</f>
        <v/>
      </c>
      <c r="D69" s="278" t="s">
        <v>938</v>
      </c>
      <c r="E69" s="265" t="s">
        <v>940</v>
      </c>
      <c r="F69" s="274" t="str">
        <f>IF(OR('_MB Analysis'!$I$25&lt;&gt;"OK",COUNT($G$16)&lt;&gt;1,$G$16&lt;0),"",IF(G68&gt;G69,"&gt;","&lt;"))</f>
        <v/>
      </c>
      <c r="G69" s="296">
        <v>550</v>
      </c>
      <c r="H69" s="122"/>
      <c r="I69" s="277" t="str">
        <f>IF(OR('_MB Analysis'!$I$25&lt;&gt;"OK",COUNT($G$16)&lt;&gt;1,$G$16&lt;0),"",IF(G68&lt;550,"vt",""))</f>
        <v/>
      </c>
      <c r="J69" s="274" t="str">
        <f>IF(OR('_MB Analysis'!$I$25&lt;&gt;"OK",COUNT($G$16)&lt;&gt;1,$G$16&lt;0),"",IF(G68&gt;550,"",IF(K63&gt;(G66*G68/550),"&gt;","&lt;")))</f>
        <v/>
      </c>
      <c r="K69" s="271" t="str">
        <f>IF(OR('_MB Analysis'!$I$25&lt;&gt;"OK",COUNT($G$16)&lt;&gt;1,$G$16&lt;0),"",IF(G68&lt;550,"vtu y1/550",""))</f>
        <v/>
      </c>
      <c r="L69" s="116"/>
      <c r="M69" s="116"/>
      <c r="N69" s="286" t="str">
        <f>IF(OR('_MB Analysis'!$I$25&lt;&gt;"OK",COUNT($G$16)&lt;&gt;1,$G$16&lt;0),"",IF(C69="&lt;",IF(J69="&gt;","NOT OKAY","OKAY"),"NOT OKAY"))</f>
        <v/>
      </c>
      <c r="O69" s="297" t="str">
        <f>IF(OR('_MB Analysis'!$I$25&lt;&gt;"OK",COUNT($G$16)&lt;&gt;1,$G$16&lt;0),"",IF(C69="&lt;",IF(J69="&gt;","vt&gt;vtu y1/550",""),"(v+vt)&gt;vtu"))</f>
        <v/>
      </c>
      <c r="R69" s="71" t="str">
        <f>IF(OR('_MB Analysis'!$I$25&lt;&gt;"OK",COUNT($G$16)&lt;&gt;1,$G$16&lt;0),"",IF(N69&lt;&gt;"OKAY",K63+K51,""))</f>
        <v/>
      </c>
    </row>
    <row r="70" spans="1:19" ht="19.5" customHeight="1">
      <c r="A70" s="116"/>
      <c r="B70" s="277" t="s">
        <v>613</v>
      </c>
      <c r="C70" s="274" t="str">
        <f>IF(OR('_MB Analysis'!$I$25&lt;&gt;"OK",COUNT($G$16)&lt;&gt;1,$G$16&lt;0),"",IF(K51&gt;(G53+G54),"&gt;","&lt;"))</f>
        <v/>
      </c>
      <c r="D70" s="278" t="s">
        <v>942</v>
      </c>
      <c r="E70" s="265" t="s">
        <v>935</v>
      </c>
      <c r="F70" s="274" t="str">
        <f>IF(OR('_MB Analysis'!$I$25&lt;&gt;"OK",COUNT($G$16)&lt;&gt;1,$G$16&lt;0),"",IF(K63&gt;G65,"&gt;","&lt;"))</f>
        <v/>
      </c>
      <c r="G70" s="295" t="s">
        <v>937</v>
      </c>
      <c r="H70" s="122"/>
      <c r="I70" s="116"/>
      <c r="J70" s="116"/>
      <c r="K70" s="116"/>
      <c r="L70" s="116"/>
      <c r="M70" s="116"/>
      <c r="N70" s="280" t="s">
        <v>633</v>
      </c>
      <c r="O70" s="116"/>
    </row>
    <row r="71" spans="1:19" ht="19.5" customHeight="1">
      <c r="A71" s="116"/>
      <c r="B71" s="111"/>
      <c r="C71" s="277" t="s">
        <v>921</v>
      </c>
      <c r="D71" s="281" t="str">
        <f>IF(OR('_MB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8" t="s">
        <v>634</v>
      </c>
      <c r="C72" s="113"/>
      <c r="D72" s="123"/>
      <c r="E72" s="274" t="s">
        <v>932</v>
      </c>
      <c r="F72" s="524" t="s">
        <v>573</v>
      </c>
      <c r="G72" s="524" t="s">
        <v>593</v>
      </c>
      <c r="H72" s="525"/>
      <c r="I72" s="116"/>
      <c r="J72" s="524" t="s">
        <v>573</v>
      </c>
      <c r="K72" s="543" t="str">
        <f>IF(OR('_MB Analysis'!$I$25&lt;&gt;"OK",COUNT($G$16)&lt;&gt;1,$G$16&lt;0),"",ROUND(IF(G65&gt;K63,0,K25*10^6/(0.8*G67*G68*(0.87*G19))),3))</f>
        <v/>
      </c>
      <c r="L72" s="271" t="s">
        <v>362</v>
      </c>
      <c r="M72" s="116"/>
      <c r="N72" s="116"/>
      <c r="O72" s="116"/>
    </row>
    <row r="73" spans="1:19" ht="19.5" customHeight="1">
      <c r="A73" s="116"/>
      <c r="B73" s="529"/>
      <c r="C73" s="113"/>
      <c r="D73" s="123"/>
      <c r="E73" s="283" t="s">
        <v>933</v>
      </c>
      <c r="F73" s="525"/>
      <c r="G73" s="536" t="s">
        <v>943</v>
      </c>
      <c r="H73" s="537"/>
      <c r="I73" s="116"/>
      <c r="J73" s="525"/>
      <c r="K73" s="542"/>
      <c r="L73" s="293" t="s">
        <v>579</v>
      </c>
      <c r="M73" s="116"/>
      <c r="N73" s="116"/>
      <c r="O73" s="116"/>
    </row>
    <row r="74" spans="1:19" ht="19.5" customHeight="1">
      <c r="A74" s="116"/>
      <c r="B74" s="528" t="s">
        <v>635</v>
      </c>
      <c r="C74" s="113"/>
      <c r="D74" s="123"/>
      <c r="E74" s="524" t="s">
        <v>605</v>
      </c>
      <c r="F74" s="524" t="s">
        <v>573</v>
      </c>
      <c r="G74" s="524" t="s">
        <v>944</v>
      </c>
      <c r="H74" s="525"/>
      <c r="I74" s="116"/>
      <c r="J74" s="524" t="s">
        <v>573</v>
      </c>
      <c r="K74" s="530" t="str">
        <f>IF(OR('_MB Analysis'!$I$25&lt;&gt;"OK",COUNT($G$16)&lt;&gt;1,$G$16&lt;0),"",ROUND(K72*G19*(G67+G68)/G18,0))</f>
        <v/>
      </c>
      <c r="L74" s="532" t="s">
        <v>916</v>
      </c>
      <c r="M74" s="114"/>
      <c r="N74" s="116"/>
      <c r="O74" s="116"/>
    </row>
    <row r="75" spans="1:19" ht="19.5" customHeight="1">
      <c r="A75" s="116"/>
      <c r="B75" s="529"/>
      <c r="C75" s="113"/>
      <c r="D75" s="123"/>
      <c r="E75" s="525"/>
      <c r="F75" s="525"/>
      <c r="G75" s="536" t="s">
        <v>945</v>
      </c>
      <c r="H75" s="537"/>
      <c r="I75" s="116"/>
      <c r="J75" s="525"/>
      <c r="K75" s="531"/>
      <c r="L75" s="533"/>
      <c r="M75" s="114"/>
      <c r="N75" s="116"/>
      <c r="O75" s="116"/>
    </row>
    <row r="76" spans="1:19" ht="19.5" customHeight="1">
      <c r="A76" s="116"/>
      <c r="B76" s="271" t="s">
        <v>636</v>
      </c>
      <c r="C76" s="116"/>
      <c r="D76" s="116"/>
      <c r="E76" s="306">
        <v>2</v>
      </c>
      <c r="F76" s="271" t="s">
        <v>622</v>
      </c>
      <c r="G76" s="307"/>
      <c r="H76" s="308"/>
      <c r="I76" s="274" t="s">
        <v>932</v>
      </c>
      <c r="J76" s="524" t="s">
        <v>573</v>
      </c>
      <c r="K76" s="543" t="str">
        <f>IF(OR('_MB Analysis'!$I$25&lt;&gt;"OK",COUNT($G$16)&lt;&gt;1,$G$16&lt;0),"",IF(H76=0,0,ROUND(G76^2*PI()/4/H76*E76,3)))</f>
        <v/>
      </c>
      <c r="L76" s="271" t="s">
        <v>362</v>
      </c>
      <c r="M76" s="116"/>
      <c r="N76" s="116"/>
      <c r="O76" s="116"/>
    </row>
    <row r="77" spans="1:19" ht="19.5" customHeight="1">
      <c r="A77" s="116"/>
      <c r="B77" s="271" t="s">
        <v>636</v>
      </c>
      <c r="C77" s="116"/>
      <c r="D77" s="116"/>
      <c r="E77" s="112"/>
      <c r="F77" s="112"/>
      <c r="G77" s="121"/>
      <c r="H77" s="121"/>
      <c r="I77" s="283" t="s">
        <v>933</v>
      </c>
      <c r="J77" s="525"/>
      <c r="K77" s="542"/>
      <c r="L77" s="293" t="s">
        <v>579</v>
      </c>
      <c r="M77" s="116"/>
      <c r="N77" s="286" t="str">
        <f>IF(OR('_MB Analysis'!$I$25&lt;&gt;"OK",COUNT($G$16)&lt;&gt;1,$G$16&lt;0),"",IF(K72&lt;&gt;0,IF(K76&gt;K72,IF(H76&lt;MIN(G67,G68/2,200),"OKAY","NOT OKAY"),"NOT OKAY"),"OKAY"))</f>
        <v/>
      </c>
      <c r="O77" s="291" t="str">
        <f>IF(OR('_MB Analysis'!$I$25&lt;&gt;"OK",COUNT($G$16)&lt;&gt;1,$G$16&lt;0),"",IF(K72&lt;&gt;0,IF(K76&gt;K72,IF(H76&lt;MIN(G67,G68/2,200),"","Increase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IF(OR('_MB Analysis'!$I$25&lt;&gt;"OK",COUNT($G$16)&lt;&gt;1,$G$16&lt;0),"",G44+G40)</f>
        <v/>
      </c>
      <c r="L78" s="271" t="s">
        <v>362</v>
      </c>
      <c r="M78" s="116"/>
      <c r="N78" s="286" t="str">
        <f>IF(OR('_MB Analysis'!$I$25&lt;&gt;"OK",COUNT($G$16)&lt;&gt;1,$G$16&lt;0),"",IF(K74&gt;K78,"NOT OKAY","OKAY"))</f>
        <v/>
      </c>
      <c r="O78" s="291" t="str">
        <f>IF(OR('_MB Analysis'!$I$25&lt;&gt;"OK",COUNT($G$16)&lt;&gt;1,$G$16&lt;0),"",IF(K78&gt;K74,"","Provide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6" t="s">
        <v>953</v>
      </c>
      <c r="C80" s="146"/>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IF(OR('_MB Analysis'!$I$25&lt;&gt;"OK",COUNT($G$16)&lt;&gt;1,$G$16&lt;0),"",2/3*G18*K38/G44)</f>
        <v/>
      </c>
      <c r="H82" s="271" t="s">
        <v>585</v>
      </c>
      <c r="I82" s="116"/>
      <c r="J82" s="116"/>
      <c r="K82" s="116"/>
      <c r="L82" s="116"/>
      <c r="M82" s="116"/>
      <c r="N82" s="280" t="s">
        <v>638</v>
      </c>
      <c r="O82" s="116"/>
    </row>
    <row r="83" spans="1:16" ht="19.5" customHeight="1">
      <c r="A83" s="116"/>
      <c r="B83" s="538" t="s">
        <v>639</v>
      </c>
      <c r="C83" s="539"/>
      <c r="D83" s="539"/>
      <c r="E83" s="539"/>
      <c r="F83" s="274" t="s">
        <v>573</v>
      </c>
      <c r="G83" s="299" t="str">
        <f>IF(OR('_MB Analysis'!$I$25&lt;&gt;"OK",COUNT($G$16)&lt;&gt;1,$G$16&lt;0),"",ROUND(MIN(2,0.55+(477-G82)/(120*(0.9+G23*10^6/(G14*G29^2)))),2))</f>
        <v/>
      </c>
      <c r="H83" s="115"/>
      <c r="I83" s="116"/>
      <c r="J83" s="116"/>
      <c r="K83" s="116"/>
      <c r="L83" s="116"/>
      <c r="M83" s="116"/>
      <c r="N83" s="280" t="s">
        <v>638</v>
      </c>
      <c r="O83" s="116"/>
      <c r="P83" s="81"/>
    </row>
    <row r="84" spans="1:16" ht="19.5" customHeight="1">
      <c r="A84" s="116"/>
      <c r="B84" s="550" t="s">
        <v>640</v>
      </c>
      <c r="C84" s="551"/>
      <c r="D84" s="551"/>
      <c r="E84" s="551"/>
      <c r="F84" s="274" t="s">
        <v>573</v>
      </c>
      <c r="G84" s="271" t="str">
        <f>IF(OR('_MB Analysis'!$I$25&lt;&gt;"OK",COUNT($G$16)&lt;&gt;1,$G$16&lt;0),"",ROUND(MIN(1.5,1+(100*G40/(G14*G29))/(3+100*G40/(G14*G29))),2))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f>IF(T13="Simply-supported",20,IF(T13="End span",23,IF(T13="Continuous",26,"")))</f>
        <v>20</v>
      </c>
      <c r="H85" s="116"/>
      <c r="I85" s="116"/>
      <c r="J85" s="116"/>
      <c r="K85" s="116"/>
      <c r="L85" s="116"/>
      <c r="M85" s="116"/>
      <c r="N85" s="545" t="str">
        <f>IF(OR('_MB Analysis'!$I$25&lt;&gt;"OK",COUNT($G$16)&lt;&gt;1,$G$16&lt;0),"","Linked: "&amp;'_MB Analysis'!E7)</f>
        <v/>
      </c>
      <c r="O85" s="546"/>
    </row>
    <row r="86" spans="1:16" ht="19.5" customHeight="1">
      <c r="A86" s="116"/>
      <c r="B86" s="278" t="s">
        <v>643</v>
      </c>
      <c r="C86" s="120"/>
      <c r="D86" s="120"/>
      <c r="E86" s="116"/>
      <c r="F86" s="274" t="s">
        <v>573</v>
      </c>
      <c r="G86" s="300" t="str">
        <f>IF(OR('_MB Analysis'!$I$25&lt;&gt;"OK",COUNT($G$16)&lt;&gt;1,$G$16&lt;0),"",IF(G44=0,0,G85*G84*G83*MIN(1,10/G12)))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IF(OR('_MB Analysis'!$I$25&lt;&gt;"OK",COUNT($G$16)&lt;&gt;1,$G$16&lt;0),"",ROUND(G12*1000/G29,2))</f>
        <v/>
      </c>
      <c r="H87" s="116"/>
      <c r="I87" s="116"/>
      <c r="J87" s="274" t="str">
        <f>IF(OR('_MB Analysis'!$I$25&lt;&gt;"OK",COUNT($G$16)&lt;&gt;1,$G$16&lt;0),"",IF(G87&gt;G86,"&gt;","&lt;"))</f>
        <v/>
      </c>
      <c r="K87" s="547" t="str">
        <f>IF(OR('_MB Analysis'!$I$25&lt;&gt;"OK",COUNT($G$16)&lt;&gt;1,$G$16&lt;0),"",G86)</f>
        <v/>
      </c>
      <c r="L87" s="548"/>
      <c r="M87" s="127"/>
      <c r="N87" s="286" t="str">
        <f>IF(OR('_MB Analysis'!$I$25&lt;&gt;"OK",COUNT($G$16)&lt;&gt;1,$G$16&lt;0),"",IF(G86&lt;G87,"NOT OKAY","OKAY"))</f>
        <v/>
      </c>
      <c r="O87" s="132"/>
    </row>
    <row r="88" spans="1:16" ht="7.95" customHeight="1">
      <c r="A88" s="116"/>
      <c r="B88" s="116"/>
      <c r="C88" s="116"/>
      <c r="D88" s="116"/>
      <c r="E88" s="116"/>
      <c r="F88" s="116"/>
      <c r="G88" s="116"/>
      <c r="H88" s="116"/>
      <c r="I88" s="116"/>
      <c r="J88" s="116"/>
      <c r="K88" s="116"/>
      <c r="L88" s="116"/>
      <c r="M88" s="116"/>
      <c r="N88" s="538" t="str">
        <f>IF(OR('_MB Analysis'!$I$25&lt;&gt;"OK",COUNT($G$16)&lt;&gt;1,$G$16&lt;0),"",IF(K87&gt;G87,"","Reduce L/d ratio"))</f>
        <v/>
      </c>
      <c r="O88" s="539"/>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9" t="s">
        <v>651</v>
      </c>
      <c r="B104" s="521"/>
      <c r="C104" s="521"/>
      <c r="D104" s="521"/>
      <c r="E104" s="521"/>
      <c r="F104" s="521"/>
      <c r="G104" s="521"/>
      <c r="H104" s="521"/>
      <c r="I104" s="521"/>
      <c r="J104" s="521"/>
      <c r="K104" s="521"/>
      <c r="L104" s="521"/>
      <c r="M104" s="521"/>
      <c r="N104" s="521"/>
      <c r="O104" s="521"/>
    </row>
    <row r="105" spans="1:16" ht="19.5" customHeight="1" outlineLevel="1">
      <c r="A105" s="116"/>
      <c r="B105" s="553" t="s">
        <v>1008</v>
      </c>
      <c r="C105" s="539"/>
      <c r="D105" s="539"/>
      <c r="E105" s="539"/>
      <c r="F105" s="539"/>
      <c r="G105" s="539"/>
      <c r="H105" s="539"/>
      <c r="I105" s="539"/>
      <c r="J105" s="539"/>
      <c r="K105" s="539"/>
      <c r="L105" s="539"/>
      <c r="M105" s="539"/>
      <c r="N105" s="539"/>
      <c r="O105" s="539"/>
    </row>
    <row r="106" spans="1:16" ht="19.5" customHeight="1" outlineLevel="1">
      <c r="A106" s="287" t="s">
        <v>1088</v>
      </c>
      <c r="B106" s="539"/>
      <c r="C106" s="539"/>
      <c r="D106" s="539"/>
      <c r="E106" s="539"/>
      <c r="F106" s="539"/>
      <c r="G106" s="539"/>
      <c r="H106" s="539"/>
      <c r="I106" s="539"/>
      <c r="J106" s="539"/>
      <c r="K106" s="539"/>
      <c r="L106" s="539"/>
      <c r="M106" s="539"/>
      <c r="N106" s="539"/>
      <c r="O106" s="539"/>
    </row>
    <row r="107" spans="1:16" ht="19.5" customHeight="1" outlineLevel="1">
      <c r="A107" s="287" t="s">
        <v>652</v>
      </c>
      <c r="B107" s="539"/>
      <c r="C107" s="539"/>
      <c r="D107" s="539"/>
      <c r="E107" s="539"/>
      <c r="F107" s="539"/>
      <c r="G107" s="539"/>
      <c r="H107" s="539"/>
      <c r="I107" s="539"/>
      <c r="J107" s="539"/>
      <c r="K107" s="539"/>
      <c r="L107" s="539"/>
      <c r="M107" s="539"/>
      <c r="N107" s="539"/>
      <c r="O107" s="539"/>
    </row>
    <row r="108" spans="1:16" ht="19.5" customHeight="1" outlineLevel="1">
      <c r="A108" s="116"/>
      <c r="B108" s="539"/>
      <c r="C108" s="539"/>
      <c r="D108" s="539"/>
      <c r="E108" s="539"/>
      <c r="F108" s="539"/>
      <c r="G108" s="539"/>
      <c r="H108" s="539"/>
      <c r="I108" s="539"/>
      <c r="J108" s="539"/>
      <c r="K108" s="539"/>
      <c r="L108" s="539"/>
      <c r="M108" s="539"/>
      <c r="N108" s="539"/>
      <c r="O108" s="539"/>
    </row>
    <row r="109" spans="1:16" ht="19.5" customHeight="1" outlineLevel="1">
      <c r="A109" s="557" t="s">
        <v>653</v>
      </c>
      <c r="B109" s="558"/>
      <c r="C109" s="301" t="s">
        <v>654</v>
      </c>
      <c r="D109" s="301" t="s">
        <v>655</v>
      </c>
      <c r="E109" s="557" t="s">
        <v>656</v>
      </c>
      <c r="F109" s="558"/>
      <c r="G109" s="558"/>
      <c r="H109" s="558"/>
      <c r="I109" s="116"/>
      <c r="J109" s="116"/>
      <c r="K109" s="116"/>
      <c r="L109" s="116"/>
      <c r="M109" s="116"/>
      <c r="N109" s="116"/>
      <c r="O109" s="116"/>
    </row>
    <row r="110" spans="1:16" ht="19.5" customHeight="1" outlineLevel="1">
      <c r="A110" s="527" t="s">
        <v>657</v>
      </c>
      <c r="B110" s="526"/>
      <c r="C110" s="304">
        <v>11</v>
      </c>
      <c r="D110" s="305">
        <v>40</v>
      </c>
      <c r="E110" s="544" t="str">
        <f>IF(OR('_MB Analysis'!$I$25&lt;&gt;"OK",COUNT($G$16)&lt;&gt;1,$G$16&lt;0),"",IF(P110="","",P110))</f>
        <v/>
      </c>
      <c r="F110" s="526"/>
      <c r="G110" s="526"/>
      <c r="H110" s="526"/>
      <c r="I110" s="116"/>
      <c r="J110" s="116"/>
      <c r="K110" s="116"/>
      <c r="L110" s="116"/>
      <c r="M110" s="116"/>
      <c r="N110" s="116"/>
      <c r="O110" s="116"/>
      <c r="P110" s="70" t="str">
        <f>IF(OR('_MB Analysis'!$I$25&lt;&gt;"OK",COUNT($G$16)&lt;&gt;1,$G$16&lt;0),"",MBBeamLayerDepth(40,4,$C$40:$D$47,$C$110:$D$117,$G$14:$G$16,$G$58))</f>
        <v/>
      </c>
    </row>
    <row r="111" spans="1:16" ht="19.5" customHeight="1" outlineLevel="1">
      <c r="A111" s="527" t="s">
        <v>658</v>
      </c>
      <c r="B111" s="526"/>
      <c r="C111" s="304">
        <v>11</v>
      </c>
      <c r="D111" s="305">
        <v>40</v>
      </c>
      <c r="E111" s="544" t="str">
        <f>IF(OR('_MB Analysis'!$I$25&lt;&gt;"OK",COUNT($G$16)&lt;&gt;1,$G$16&lt;0),"",IF(P111="","",P111))</f>
        <v/>
      </c>
      <c r="F111" s="526"/>
      <c r="G111" s="526"/>
      <c r="H111" s="526"/>
      <c r="I111" s="116"/>
      <c r="J111" s="116"/>
      <c r="K111" s="116"/>
      <c r="L111" s="116"/>
      <c r="M111" s="116"/>
      <c r="N111" s="116"/>
      <c r="O111" s="116"/>
      <c r="P111" s="70" t="str">
        <f>IF(OR('_MB Analysis'!$I$25&lt;&gt;"OK",COUNT($G$16)&lt;&gt;1,$G$16&lt;0),"",MBBeamLayerDepth(40,5,$C$40:$D$47,$C$110:$D$117,$G$14:$G$16,$G$58))</f>
        <v/>
      </c>
    </row>
    <row r="112" spans="1:16" ht="19.5" customHeight="1" outlineLevel="1">
      <c r="A112" s="527" t="s">
        <v>659</v>
      </c>
      <c r="B112" s="526"/>
      <c r="C112" s="304">
        <v>11</v>
      </c>
      <c r="D112" s="305">
        <v>40</v>
      </c>
      <c r="E112" s="544" t="str">
        <f>IF(OR('_MB Analysis'!$I$25&lt;&gt;"OK",COUNT($G$16)&lt;&gt;1,$G$16&lt;0),"",IF(P112="","",P112))</f>
        <v/>
      </c>
      <c r="F112" s="526"/>
      <c r="G112" s="526"/>
      <c r="H112" s="526"/>
      <c r="I112" s="116"/>
      <c r="J112" s="116"/>
      <c r="K112" s="116"/>
      <c r="L112" s="116"/>
      <c r="M112" s="116"/>
      <c r="N112" s="116"/>
      <c r="O112" s="116"/>
      <c r="P112" s="70" t="str">
        <f>IF(OR('_MB Analysis'!$I$25&lt;&gt;"OK",COUNT($G$16)&lt;&gt;1,$G$16&lt;0),"",MBBeamLayerDepth(40,6,$C$40:$D$47,$C$110:$D$117,$G$14:$G$16,$G$58))</f>
        <v/>
      </c>
    </row>
    <row r="113" spans="1:16" ht="19.5" customHeight="1" outlineLevel="1">
      <c r="A113" s="527" t="s">
        <v>660</v>
      </c>
      <c r="B113" s="526"/>
      <c r="C113" s="304">
        <v>2</v>
      </c>
      <c r="D113" s="305">
        <v>40</v>
      </c>
      <c r="E113" s="544" t="str">
        <f>IF(OR('_MB Analysis'!$I$25&lt;&gt;"OK",COUNT($G$16)&lt;&gt;1,$G$16&lt;0),"",IF(P113="","",P113))</f>
        <v/>
      </c>
      <c r="F113" s="526"/>
      <c r="G113" s="526"/>
      <c r="H113" s="526"/>
      <c r="I113" s="116"/>
      <c r="J113" s="116"/>
      <c r="K113" s="116"/>
      <c r="L113" s="116"/>
      <c r="M113" s="116"/>
      <c r="N113" s="116"/>
      <c r="O113" s="116"/>
      <c r="P113" s="70" t="str">
        <f>IF(OR('_MB Analysis'!$I$25&lt;&gt;"OK",COUNT($G$16)&lt;&gt;1,$G$16&lt;0),"",MBBeamLayerDepth(40,7,$C$40:$D$47,$C$110:$D$117,$G$14:$G$16,$G$58))</f>
        <v/>
      </c>
    </row>
    <row r="114" spans="1:16" ht="19.5" customHeight="1" outlineLevel="1">
      <c r="A114" s="527" t="s">
        <v>661</v>
      </c>
      <c r="B114" s="526"/>
      <c r="C114" s="304">
        <v>11</v>
      </c>
      <c r="D114" s="305">
        <v>40</v>
      </c>
      <c r="E114" s="544" t="str">
        <f>IF(OR('_MB Analysis'!$I$25&lt;&gt;"OK",COUNT($G$16)&lt;&gt;1,$G$16&lt;0),"",IF(P114="","",P114))</f>
        <v/>
      </c>
      <c r="F114" s="526"/>
      <c r="G114" s="526"/>
      <c r="H114" s="526"/>
      <c r="I114" s="116"/>
      <c r="J114" s="116"/>
      <c r="K114" s="116"/>
      <c r="L114" s="116"/>
      <c r="M114" s="116"/>
      <c r="N114" s="116"/>
      <c r="O114" s="116"/>
      <c r="P114" s="70" t="str">
        <f>IF(OR('_MB Analysis'!$I$25&lt;&gt;"OK",COUNT($G$16)&lt;&gt;1,$G$16&lt;0),"",MBBeamLayerDepth(44,4,$C$40:$D$47,$C$110:$D$117,$G$14:$G$16,$G$58))</f>
        <v/>
      </c>
    </row>
    <row r="115" spans="1:16" ht="19.5" customHeight="1" outlineLevel="1">
      <c r="A115" s="527" t="s">
        <v>662</v>
      </c>
      <c r="B115" s="526"/>
      <c r="C115" s="304">
        <v>11</v>
      </c>
      <c r="D115" s="305">
        <v>40</v>
      </c>
      <c r="E115" s="544" t="str">
        <f>IF(OR('_MB Analysis'!$I$25&lt;&gt;"OK",COUNT($G$16)&lt;&gt;1,$G$16&lt;0),"",IF(P115="","",P115))</f>
        <v/>
      </c>
      <c r="F115" s="526"/>
      <c r="G115" s="526"/>
      <c r="H115" s="526"/>
      <c r="I115" s="116"/>
      <c r="J115" s="116"/>
      <c r="K115" s="116"/>
      <c r="L115" s="116"/>
      <c r="M115" s="116"/>
      <c r="N115" s="116"/>
      <c r="O115" s="116"/>
      <c r="P115" s="70" t="str">
        <f>IF(OR('_MB Analysis'!$I$25&lt;&gt;"OK",COUNT($G$16)&lt;&gt;1,$G$16&lt;0),"",MBBeamLayerDepth(44,5,$C$40:$D$47,$C$110:$D$117,$G$14:$G$16,$G$58))</f>
        <v/>
      </c>
    </row>
    <row r="116" spans="1:16" ht="19.5" customHeight="1" outlineLevel="1">
      <c r="A116" s="527" t="s">
        <v>663</v>
      </c>
      <c r="B116" s="526"/>
      <c r="C116" s="304">
        <v>11</v>
      </c>
      <c r="D116" s="305">
        <v>40</v>
      </c>
      <c r="E116" s="544" t="str">
        <f>IF(OR('_MB Analysis'!$I$25&lt;&gt;"OK",COUNT($G$16)&lt;&gt;1,$G$16&lt;0),"",IF(P116="","",P116))</f>
        <v/>
      </c>
      <c r="F116" s="526"/>
      <c r="G116" s="526"/>
      <c r="H116" s="526"/>
      <c r="I116" s="116"/>
      <c r="J116" s="116"/>
      <c r="K116" s="116"/>
      <c r="L116" s="116"/>
      <c r="M116" s="116"/>
      <c r="N116" s="116"/>
      <c r="O116" s="116"/>
      <c r="P116" s="70" t="str">
        <f>IF(OR('_MB Analysis'!$I$25&lt;&gt;"OK",COUNT($G$16)&lt;&gt;1,$G$16&lt;0),"",MBBeamLayerDepth(44,6,$C$40:$D$47,$C$110:$D$117,$G$14:$G$16,$G$58))</f>
        <v/>
      </c>
    </row>
    <row r="117" spans="1:16" ht="19.5" customHeight="1" outlineLevel="1">
      <c r="A117" s="527" t="s">
        <v>664</v>
      </c>
      <c r="B117" s="526"/>
      <c r="C117" s="304">
        <v>2</v>
      </c>
      <c r="D117" s="305">
        <v>40</v>
      </c>
      <c r="E117" s="544" t="str">
        <f>IF(OR('_MB Analysis'!$I$25&lt;&gt;"OK",COUNT($G$16)&lt;&gt;1,$G$16&lt;0),"",IF(P117="","",P117))</f>
        <v/>
      </c>
      <c r="F117" s="526"/>
      <c r="G117" s="526"/>
      <c r="H117" s="526"/>
      <c r="I117" s="116"/>
      <c r="J117" s="116"/>
      <c r="K117" s="116"/>
      <c r="L117" s="116"/>
      <c r="M117" s="116"/>
      <c r="N117" s="116"/>
      <c r="O117" s="116"/>
      <c r="P117" s="70" t="str">
        <f>IF(OR('_MB Analysis'!$I$25&lt;&gt;"OK",COUNT($G$16)&lt;&gt;1,$G$16&lt;0),"",MBBeamLayerDepth(44,7,$C$40:$D$47,$C$110:$D$117,$G$14:$G$16,$G$58))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7" t="str">
        <f>IF(OR('_MB Analysis'!$I$25&lt;&gt;"OK",COUNT($G$16)&lt;&gt;1,$G$16&lt;0),"",IF(MBBeamGroupsFit($C$40:$D$47,$C$110:$D$117,$G$14:$G$16,$G$58),"Steel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row>
    <row r="120" spans="1:16" ht="19.5" hidden="1" customHeight="1">
      <c r="A120" s="116"/>
      <c r="B120" s="556"/>
      <c r="C120" s="556"/>
      <c r="D120" s="556"/>
      <c r="E120" s="556"/>
      <c r="F120" s="556"/>
      <c r="G120" s="556"/>
      <c r="H120" s="556"/>
      <c r="I120" s="556"/>
      <c r="J120" s="556"/>
      <c r="K120" s="556"/>
      <c r="L120" s="556"/>
      <c r="M120" s="556"/>
      <c r="N120" s="556"/>
      <c r="O120" s="116"/>
    </row>
    <row r="121" spans="1:16" ht="19.5" hidden="1" customHeight="1">
      <c r="A121" s="116"/>
      <c r="B121" s="539"/>
      <c r="C121" s="539"/>
      <c r="D121" s="539"/>
      <c r="E121" s="539"/>
      <c r="F121" s="539"/>
      <c r="G121" s="539"/>
      <c r="H121" s="539"/>
      <c r="I121" s="539"/>
      <c r="J121" s="539"/>
      <c r="K121" s="539"/>
      <c r="L121" s="539"/>
      <c r="M121" s="539"/>
      <c r="N121" s="539"/>
      <c r="O121" s="116"/>
    </row>
    <row r="122" spans="1:16" ht="19.5" hidden="1" customHeight="1">
      <c r="A122" s="116"/>
      <c r="B122" s="116"/>
      <c r="C122" s="116"/>
      <c r="D122" s="116"/>
      <c r="E122" s="116"/>
      <c r="F122" s="116"/>
      <c r="G122" s="116"/>
      <c r="H122" s="116"/>
      <c r="I122" s="116"/>
      <c r="J122" s="116"/>
      <c r="K122" s="116"/>
      <c r="L122" s="116"/>
      <c r="M122" s="116"/>
      <c r="N122" s="116"/>
      <c r="O122" s="116"/>
    </row>
    <row r="123" spans="1:16" ht="19.5" hidden="1" customHeight="1">
      <c r="A123" s="116"/>
      <c r="B123" s="116"/>
      <c r="C123" s="116"/>
      <c r="D123" s="116"/>
      <c r="E123" s="116"/>
      <c r="F123" s="116"/>
      <c r="G123" s="116"/>
      <c r="H123" s="116"/>
      <c r="I123" s="116"/>
      <c r="J123" s="116"/>
      <c r="K123" s="116"/>
      <c r="L123" s="116"/>
      <c r="M123" s="116"/>
      <c r="N123" s="116"/>
      <c r="O123" s="116"/>
    </row>
    <row r="124" spans="1:16" ht="19.5" hidden="1" customHeight="1">
      <c r="A124" s="116"/>
      <c r="B124" s="116"/>
      <c r="C124" s="116"/>
      <c r="D124" s="116"/>
      <c r="E124" s="116"/>
      <c r="F124" s="116"/>
      <c r="G124" s="116"/>
      <c r="H124" s="116"/>
      <c r="I124" s="116"/>
      <c r="J124" s="116"/>
      <c r="K124" s="116"/>
      <c r="L124" s="116"/>
      <c r="M124" s="116"/>
      <c r="N124" s="116"/>
      <c r="O124" s="116"/>
    </row>
    <row r="125" spans="1:16" ht="19.5" hidden="1" customHeight="1">
      <c r="A125" s="116"/>
      <c r="B125" s="116"/>
      <c r="C125" s="116"/>
      <c r="D125" s="116"/>
      <c r="E125" s="116"/>
      <c r="F125" s="116"/>
      <c r="G125" s="116"/>
      <c r="H125" s="116"/>
      <c r="I125" s="116"/>
      <c r="J125" s="116"/>
      <c r="K125" s="116"/>
      <c r="L125" s="116"/>
      <c r="M125" s="116"/>
      <c r="N125" s="116"/>
      <c r="O125" s="116"/>
    </row>
    <row r="126" spans="1:16" ht="19.5" hidden="1" customHeight="1">
      <c r="A126" s="116"/>
      <c r="B126" s="116"/>
      <c r="C126" s="116"/>
      <c r="D126" s="116"/>
      <c r="E126" s="116"/>
      <c r="F126" s="116"/>
      <c r="G126" s="116"/>
      <c r="H126" s="116"/>
      <c r="I126" s="116"/>
      <c r="J126" s="116"/>
      <c r="K126" s="116"/>
      <c r="L126" s="116"/>
      <c r="M126" s="116"/>
      <c r="N126" s="116"/>
      <c r="O126" s="116"/>
    </row>
    <row r="127" spans="1:16" ht="19.5" hidden="1" customHeight="1">
      <c r="A127" s="116"/>
      <c r="B127" s="116"/>
      <c r="C127" s="116"/>
      <c r="D127" s="116"/>
      <c r="E127" s="116"/>
      <c r="F127" s="116"/>
      <c r="G127" s="116"/>
      <c r="H127" s="116"/>
      <c r="I127" s="116"/>
      <c r="J127" s="116"/>
      <c r="K127" s="116"/>
      <c r="L127" s="116"/>
      <c r="M127" s="116"/>
      <c r="N127" s="116"/>
      <c r="O127" s="116"/>
    </row>
    <row r="128" spans="1:16"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13.8">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1"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1"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1"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1"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1"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1"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1"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1"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1"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1"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1"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1"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1"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1"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1"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1"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1"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1"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1"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1"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1"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1"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1"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1"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1"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1"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1"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1"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1"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1"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1"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1"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1"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1"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1"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1"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1"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1"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1"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1"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21" customHeight="1">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21" customHeight="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21" customHeight="1">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21"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21"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13.8">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13.8">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13.8">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13.8">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13.8">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13.8">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13.8">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13.8">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13.8">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1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13.8">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13.8">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13.8">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13.8">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13.8">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13.8">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13.8">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13.8">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13.8">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13.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13.8">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13.8">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13.8">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13.8">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13.8">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13.8">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13.8">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13.8">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13.8">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13.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13.8">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13.8">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13.8">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13.8">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13.8">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13.8">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13.8">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13.8">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13.8">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13.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13.8">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3.8">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124">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N65:N66"/>
    <mergeCell ref="B72:B73"/>
    <mergeCell ref="F72:F73"/>
    <mergeCell ref="G72:H72"/>
    <mergeCell ref="J72:J73"/>
    <mergeCell ref="K72:K73"/>
    <mergeCell ref="G73:H73"/>
    <mergeCell ref="A104:O104"/>
    <mergeCell ref="L74:L75"/>
    <mergeCell ref="G75:H75"/>
    <mergeCell ref="J76:J77"/>
    <mergeCell ref="K76:K77"/>
    <mergeCell ref="B83:E83"/>
    <mergeCell ref="B84:E84"/>
    <mergeCell ref="B74:B75"/>
    <mergeCell ref="E74:E75"/>
    <mergeCell ref="F74:F75"/>
    <mergeCell ref="B56:B57"/>
    <mergeCell ref="C56:C57"/>
    <mergeCell ref="D56:D57"/>
    <mergeCell ref="F56:F57"/>
    <mergeCell ref="G56:H56"/>
    <mergeCell ref="J56:J57"/>
    <mergeCell ref="K56:K57"/>
    <mergeCell ref="G57:H57"/>
    <mergeCell ref="G74:H74"/>
    <mergeCell ref="J74:J75"/>
    <mergeCell ref="K74:K75"/>
    <mergeCell ref="J58:J59"/>
    <mergeCell ref="K58:K59"/>
    <mergeCell ref="E63:E64"/>
    <mergeCell ref="F63:F64"/>
    <mergeCell ref="G63:I63"/>
    <mergeCell ref="J63:J64"/>
    <mergeCell ref="K63:K64"/>
    <mergeCell ref="L63:L64"/>
    <mergeCell ref="N63:N64"/>
    <mergeCell ref="G64:I64"/>
    <mergeCell ref="K38:K39"/>
    <mergeCell ref="L38:L39"/>
    <mergeCell ref="N38:N39"/>
    <mergeCell ref="R38:V39"/>
    <mergeCell ref="G39:H39"/>
    <mergeCell ref="R40:V41"/>
    <mergeCell ref="N41:O41"/>
    <mergeCell ref="N45:O45"/>
    <mergeCell ref="B38:B39"/>
    <mergeCell ref="E38:E39"/>
    <mergeCell ref="F38:F39"/>
    <mergeCell ref="G38:H38"/>
    <mergeCell ref="I38:I39"/>
    <mergeCell ref="J38:J39"/>
    <mergeCell ref="R33:V34"/>
    <mergeCell ref="B36:B37"/>
    <mergeCell ref="E36:E37"/>
    <mergeCell ref="F36:F37"/>
    <mergeCell ref="G36:H36"/>
    <mergeCell ref="J36:J37"/>
    <mergeCell ref="K36:K37"/>
    <mergeCell ref="L36:L37"/>
    <mergeCell ref="N36:N37"/>
    <mergeCell ref="G37:H37"/>
    <mergeCell ref="R27:V28"/>
    <mergeCell ref="R29:V30"/>
    <mergeCell ref="R31:V32"/>
    <mergeCell ref="B18:D18"/>
    <mergeCell ref="B19:D19"/>
    <mergeCell ref="B21:N21"/>
    <mergeCell ref="R22:V22"/>
    <mergeCell ref="R23:V23"/>
    <mergeCell ref="R24:V24"/>
    <mergeCell ref="C9:N9"/>
    <mergeCell ref="B11:N11"/>
    <mergeCell ref="R16:S16"/>
    <mergeCell ref="T16:U16"/>
    <mergeCell ref="G25:I25"/>
    <mergeCell ref="B26:D26"/>
    <mergeCell ref="R26:V26"/>
    <mergeCell ref="R13:S13"/>
    <mergeCell ref="T13:V13"/>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T21 N87 N61 N63:N64 N44 N70 N77:N78 N59 N49 N51:N57 N27 N30:N40 N69:O69 P37 P35 N82:N85">
    <cfRule type="cellIs" dxfId="12" priority="1" stopIfTrue="1" operator="equal">
      <formula>"NOT OKAY"</formula>
    </cfRule>
  </conditionalFormatting>
  <dataValidations count="13">
    <dataValidation type="list" allowBlank="1" showInputMessage="1" showErrorMessage="1" sqref="T16:U16" xr:uid="{448C5F65-5F87-47AB-AE49-02F7CC299B83}">
      <formula1>"Auto,Manual"</formula1>
    </dataValidation>
    <dataValidation type="decimal" operator="greaterThanOrEqual" allowBlank="1" showInputMessage="1" showErrorMessage="1" sqref="G13" xr:uid="{047205E6-11C4-44E4-BB28-3EA240052B16}">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28DC7F45-1534-4565-A4A0-5090860B6915}">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77555125-3960-4B3F-99F4-37F781527F88}">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74E6F5FB-8E5B-474D-975E-1279417D5AB5}">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87363C91-7838-40D2-B300-C094219A2495}">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462641EB-0ABF-450D-B202-5D4B109C35BD}">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C78565D1-15A3-4B4F-BADB-B8A10AF21B84}">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D5B07590-7BF1-4D29-ABFB-870077440E5F}">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94BED8AC-71FC-452C-A735-1BD32FFAA8F1}">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C9DF727D-E22C-4781-8288-D5C7440797C3}">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6BD2418E-F74E-435E-9263-E7929AC001E9}">
      <formula1>"250,225,200,175,150,125,100,75"</formula1>
    </dataValidation>
    <dataValidation type="list" allowBlank="1" showInputMessage="1" showErrorMessage="1" sqref="U13:V13" xr:uid="{A9B90E91-0427-4356-9B15-27053C710482}">
      <formula1>"Simply-supported,End span,Continuous"</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605A-7C73-4082-8DB3-0D7E5142726B}">
  <sheetPr codeName="CantileverSheet99">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10" t="s">
        <v>1133</v>
      </c>
      <c r="C2" s="410"/>
      <c r="D2" s="410"/>
      <c r="E2" s="410"/>
      <c r="F2" s="410"/>
      <c r="G2" s="410"/>
      <c r="H2" s="410"/>
      <c r="I2" s="410"/>
      <c r="J2" s="410"/>
      <c r="K2" s="410"/>
      <c r="L2" s="410"/>
      <c r="M2" s="410"/>
      <c r="N2" s="410"/>
      <c r="O2" s="141"/>
    </row>
    <row r="3" spans="1:85" ht="15" customHeight="1">
      <c r="A3" s="116"/>
      <c r="B3" s="140"/>
      <c r="C3" s="140"/>
      <c r="D3" s="140"/>
      <c r="E3" s="140"/>
      <c r="F3" s="140"/>
      <c r="G3" s="140"/>
      <c r="H3" s="140"/>
      <c r="I3" s="140"/>
      <c r="J3" s="140"/>
      <c r="K3" s="140"/>
      <c r="L3" s="140"/>
      <c r="M3" s="140"/>
      <c r="N3" s="140"/>
      <c r="O3" s="116"/>
      <c r="R3" s="516" t="s">
        <v>749</v>
      </c>
      <c r="S3" s="516"/>
      <c r="T3" s="516"/>
      <c r="U3" s="516"/>
      <c r="V3" s="516"/>
      <c r="X3" s="495" t="s">
        <v>829</v>
      </c>
      <c r="Y3" s="495"/>
      <c r="Z3" s="495"/>
      <c r="AA3" s="495"/>
      <c r="AB3" s="495"/>
      <c r="AC3" s="495"/>
      <c r="AD3" s="495"/>
      <c r="AE3" s="495"/>
      <c r="AF3" s="495"/>
      <c r="AG3" s="495"/>
    </row>
    <row r="4" spans="1:85" ht="15" customHeight="1">
      <c r="A4" s="116"/>
      <c r="B4" s="140"/>
      <c r="C4" s="140"/>
      <c r="D4" s="140"/>
      <c r="E4" s="140"/>
      <c r="F4" s="140"/>
      <c r="G4" s="140"/>
      <c r="H4" s="140"/>
      <c r="I4" s="140"/>
      <c r="J4" s="140"/>
      <c r="K4" s="140"/>
      <c r="L4" s="140"/>
      <c r="M4" s="140"/>
      <c r="N4" s="140"/>
      <c r="O4" s="116"/>
      <c r="R4" s="516"/>
      <c r="S4" s="516"/>
      <c r="T4" s="516"/>
      <c r="U4" s="516"/>
      <c r="V4" s="516"/>
      <c r="X4" s="496"/>
      <c r="Y4" s="496"/>
      <c r="Z4" s="496"/>
      <c r="AA4" s="496"/>
      <c r="AB4" s="496"/>
      <c r="AC4" s="496"/>
      <c r="AD4" s="496"/>
      <c r="AE4" s="496"/>
      <c r="AF4" s="496"/>
      <c r="AG4" s="496"/>
    </row>
    <row r="5" spans="1:85" ht="24" customHeight="1">
      <c r="A5" s="116"/>
      <c r="B5" s="554" t="s">
        <v>741</v>
      </c>
      <c r="C5" s="555"/>
      <c r="D5" s="555"/>
      <c r="E5" s="555"/>
      <c r="F5" s="555"/>
      <c r="G5" s="555"/>
      <c r="H5" s="555"/>
      <c r="I5" s="555"/>
      <c r="J5" s="412" t="str">
        <f>"Steel mode: "&amp;T16</f>
        <v>Steel mode: Auto</v>
      </c>
      <c r="K5" s="412"/>
      <c r="L5" s="412"/>
      <c r="M5" s="412"/>
      <c r="N5" s="412"/>
      <c r="O5" s="116"/>
      <c r="R5" s="97"/>
      <c r="S5" s="96"/>
      <c r="T5" s="96"/>
      <c r="U5" s="96"/>
      <c r="V5" s="96"/>
    </row>
    <row r="6" spans="1:85" ht="24" customHeight="1">
      <c r="A6" s="116"/>
      <c r="B6" s="552" t="s">
        <v>1150</v>
      </c>
      <c r="C6" s="412"/>
      <c r="D6" s="412"/>
      <c r="E6" s="412"/>
      <c r="F6" s="412"/>
      <c r="G6" s="412"/>
      <c r="H6" s="412"/>
      <c r="I6" s="412"/>
      <c r="J6" s="412"/>
      <c r="K6" s="412"/>
      <c r="L6" s="412"/>
      <c r="M6" s="412"/>
      <c r="N6" s="412"/>
      <c r="O6" s="412"/>
      <c r="R6" s="97"/>
      <c r="S6" s="96"/>
      <c r="T6" s="96"/>
      <c r="U6" s="96"/>
      <c r="V6" s="96"/>
      <c r="X6" s="495" t="s">
        <v>759</v>
      </c>
      <c r="Y6" s="495"/>
      <c r="Z6" s="495"/>
      <c r="AA6" s="495"/>
      <c r="AB6" s="495" t="s">
        <v>760</v>
      </c>
      <c r="AC6" s="495"/>
      <c r="AD6" s="495"/>
      <c r="AE6" s="495" t="s">
        <v>761</v>
      </c>
      <c r="AF6" s="495"/>
      <c r="AG6" s="495"/>
    </row>
    <row r="7" spans="1:85" ht="7.95" customHeight="1">
      <c r="A7" s="116"/>
      <c r="B7" s="138"/>
      <c r="C7" s="138"/>
      <c r="D7" s="138"/>
      <c r="E7" s="138"/>
      <c r="F7" s="138"/>
      <c r="G7" s="138"/>
      <c r="H7" s="138"/>
      <c r="I7" s="138"/>
      <c r="J7" s="138"/>
      <c r="K7" s="138"/>
      <c r="L7" s="138"/>
      <c r="M7" s="138"/>
      <c r="N7" s="138"/>
      <c r="O7" s="116"/>
      <c r="R7" s="97"/>
      <c r="S7" s="96"/>
      <c r="T7" s="96"/>
      <c r="U7" s="96"/>
      <c r="V7" s="96"/>
      <c r="X7" s="496"/>
      <c r="Y7" s="496"/>
      <c r="Z7" s="496"/>
      <c r="AA7" s="496"/>
      <c r="AB7" s="496"/>
      <c r="AC7" s="496"/>
      <c r="AD7" s="496"/>
      <c r="AE7" s="496"/>
      <c r="AF7" s="496"/>
      <c r="AG7" s="496"/>
    </row>
    <row r="8" spans="1:85" s="76" customFormat="1" ht="19.5" customHeight="1">
      <c r="A8" s="132"/>
      <c r="B8"/>
      <c r="C8"/>
      <c r="D8"/>
      <c r="E8"/>
      <c r="F8"/>
      <c r="G8"/>
      <c r="H8"/>
      <c r="I8"/>
      <c r="J8"/>
      <c r="K8"/>
      <c r="L8"/>
      <c r="M8"/>
      <c r="N8"/>
      <c r="O8" s="132"/>
      <c r="R8" s="517" t="s">
        <v>752</v>
      </c>
      <c r="S8" s="517"/>
      <c r="T8" s="311">
        <v>40</v>
      </c>
      <c r="U8" s="97"/>
      <c r="V8" s="97"/>
      <c r="X8" s="515" t="s">
        <v>766</v>
      </c>
      <c r="Y8" s="515"/>
      <c r="Z8" s="515"/>
      <c r="AA8" s="515"/>
      <c r="AB8" s="512" t="str">
        <f>IFERROR(IF(IF(INDEX('_Input Engine'!$E$31:$E$50,MATCH(C9,'_Input Engine'!$A$31:$A$50,0))="None","No",IF(INDEX('_Input Engine'!$E$31:$E$50,MATCH(C9,'_Input Engine'!$A$31:$A$50,0))="","","Yes"))="","",IF(INDEX('_Input Engine'!$E$31:$E$50,MATCH(C9,'_Input Engine'!$A$31:$A$50,0))="None","No",IF(INDEX('_Input Engine'!$E$31:$E$50,MATCH(C9,'_Input Engine'!$A$31:$A$50,0))="","","Yes"))),"")</f>
        <v/>
      </c>
      <c r="AC8" s="513"/>
      <c r="AD8" s="513"/>
      <c r="AE8" s="512" t="str">
        <f>IFERROR(IF(IF(INDEX('_Input Engine'!$F$31:$F$50,MATCH(C9,'_Input Engine'!$A$31:$A$50,0))="None","No",IF(INDEX('_Input Engine'!$F$31:$F$50,MATCH(C9,'_Input Engine'!$A$31:$A$50,0))="","","Yes"))="","",IF(INDEX('_Input Engine'!$F$31:$F$50,MATCH(C9,'_Input Engine'!$A$31:$A$50,0))="None","No",IF(INDEX('_Input Engine'!$F$31:$F$50,MATCH(C9,'_Input Engine'!$A$31:$A$50,0))="","","Yes"))),"")</f>
        <v/>
      </c>
      <c r="AF8" s="513"/>
      <c r="AG8" s="513"/>
    </row>
    <row r="9" spans="1:85" s="76" customFormat="1" ht="19.5" customHeight="1">
      <c r="A9" s="132"/>
      <c r="B9" s="271" t="s">
        <v>567</v>
      </c>
      <c r="C9" s="518" t="str">
        <f>INDEX(Input!A124:A143,T37-123)</f>
        <v>CB1</v>
      </c>
      <c r="D9" s="519"/>
      <c r="E9" s="519"/>
      <c r="F9" s="519"/>
      <c r="G9" s="519"/>
      <c r="H9" s="519"/>
      <c r="I9" s="519"/>
      <c r="J9" s="519"/>
      <c r="K9" s="519"/>
      <c r="L9" s="519"/>
      <c r="M9" s="519"/>
      <c r="N9" s="519"/>
      <c r="O9" s="132"/>
      <c r="R9" s="517" t="s">
        <v>753</v>
      </c>
      <c r="S9" s="517"/>
      <c r="T9" s="312">
        <v>250</v>
      </c>
      <c r="U9" s="97"/>
      <c r="V9" s="97"/>
      <c r="X9" s="503"/>
      <c r="Y9" s="503"/>
      <c r="Z9" s="503"/>
      <c r="AA9" s="503"/>
      <c r="AB9" s="514"/>
      <c r="AC9" s="514"/>
      <c r="AD9" s="514"/>
      <c r="AE9" s="514"/>
      <c r="AF9" s="514"/>
      <c r="AG9" s="514"/>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R10" s="517" t="s">
        <v>754</v>
      </c>
      <c r="S10" s="517"/>
      <c r="T10" s="312">
        <v>150</v>
      </c>
      <c r="U10" s="96"/>
      <c r="V10" s="96"/>
      <c r="X10" s="494" t="s">
        <v>765</v>
      </c>
      <c r="Y10" s="494"/>
      <c r="Z10" s="494"/>
      <c r="AA10" s="494"/>
      <c r="AB10" s="510" t="str">
        <f>IFERROR(IF(INDEX('_Input Engine'!$G$11:$G$20,MATCH(INDEX('_Input Engine'!$E$31:$E$50,MATCH(C9,'_Input Engine'!$A$31:$A$50,0)),'_Input Engine'!$A$11:$A$20,0))="","",INDEX('_Input Engine'!$G$11:$G$20,MATCH(INDEX('_Input Engine'!$E$31:$E$50,MATCH(C9,'_Input Engine'!$A$31:$A$50,0)),'_Input Engine'!$A$11:$A$20,0))),"")</f>
        <v/>
      </c>
      <c r="AC10" s="511"/>
      <c r="AD10" s="511"/>
      <c r="AE10" s="510" t="str">
        <f>IFERROR(IF(INDEX('_Input Engine'!$G$11:$G$20,MATCH(INDEX('_Input Engine'!$F$31:$F$50,MATCH(C9,'_Input Engine'!$A$31:$A$50,0)),'_Input Engine'!$A$11:$A$20,0))="","",INDEX('_Input Engine'!$G$11:$G$20,MATCH(INDEX('_Input Engine'!$F$31:$F$50,MATCH(C9,'_Input Engine'!$A$31:$A$50,0)),'_Input Engine'!$A$11:$A$20,0))),"")</f>
        <v/>
      </c>
      <c r="AF10" s="511"/>
      <c r="AG10" s="511"/>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R11" s="517" t="s">
        <v>750</v>
      </c>
      <c r="S11" s="517"/>
      <c r="T11" s="312">
        <v>4</v>
      </c>
      <c r="U11" s="96"/>
      <c r="V11" s="96"/>
      <c r="X11" s="494"/>
      <c r="Y11" s="494"/>
      <c r="Z11" s="494"/>
      <c r="AA11" s="494"/>
      <c r="AB11" s="511"/>
      <c r="AC11" s="511"/>
      <c r="AD11" s="511"/>
      <c r="AE11" s="511"/>
      <c r="AF11" s="511"/>
      <c r="AG11" s="511"/>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f>INDEX(Input!C124:C143,T37-123)</f>
        <v>0</v>
      </c>
      <c r="H12" s="271" t="s">
        <v>574</v>
      </c>
      <c r="I12" s="116"/>
      <c r="J12" s="116"/>
      <c r="K12" s="116"/>
      <c r="L12" s="116"/>
      <c r="M12" s="116"/>
      <c r="N12" s="116"/>
      <c r="O12" s="116"/>
      <c r="R12" s="97"/>
      <c r="S12" s="96"/>
      <c r="T12" s="96"/>
      <c r="U12" s="96"/>
      <c r="V12" s="96"/>
      <c r="X12" s="494" t="s">
        <v>764</v>
      </c>
      <c r="Y12" s="494"/>
      <c r="Z12" s="494"/>
      <c r="AA12" s="494"/>
      <c r="AB12" s="510" t="str">
        <f>IFERROR(IF(INDEX('_Input Engine'!$B$11:$B$20,MATCH(INDEX('_Input Engine'!$E$31:$E$50,MATCH(C9,'_Input Engine'!$A$31:$A$50,0)),'_Input Engine'!$A$11:$A$20,0))="","",INDEX('_Input Engine'!$B$11:$B$20,MATCH(INDEX('_Input Engine'!$E$31:$E$50,MATCH(C9,'_Input Engine'!$A$31:$A$50,0)),'_Input Engine'!$A$11:$A$20,0))),"")</f>
        <v/>
      </c>
      <c r="AC12" s="511"/>
      <c r="AD12" s="511"/>
      <c r="AE12" s="510" t="str">
        <f>IFERROR(IF(INDEX('_Input Engine'!$B$11:$B$20,MATCH(INDEX('_Input Engine'!$F$31:$F$50,MATCH(C9,'_Input Engine'!$A$31:$A$50,0)),'_Input Engine'!$A$11:$A$20,0))="","",INDEX('_Input Engine'!$B$11:$B$20,MATCH(INDEX('_Input Engine'!$F$31:$F$50,MATCH(C9,'_Input Engine'!$A$31:$A$50,0)),'_Input Engine'!$A$11:$A$20,0))),"")</f>
        <v/>
      </c>
      <c r="AF12" s="511"/>
      <c r="AG12" s="511"/>
    </row>
    <row r="13" spans="1:85" ht="19.5" customHeight="1">
      <c r="A13" s="116"/>
      <c r="B13" s="271" t="s">
        <v>575</v>
      </c>
      <c r="C13" s="116"/>
      <c r="D13" s="116"/>
      <c r="E13" s="274" t="s">
        <v>576</v>
      </c>
      <c r="F13" s="274" t="s">
        <v>573</v>
      </c>
      <c r="G13" s="374">
        <f>N(INDEX(Input!M124:M143,T37-123))</f>
        <v>0</v>
      </c>
      <c r="H13" s="271" t="s">
        <v>574</v>
      </c>
      <c r="I13" s="116"/>
      <c r="J13" s="116"/>
      <c r="K13" s="116"/>
      <c r="L13" s="116"/>
      <c r="M13" s="116"/>
      <c r="N13" s="116"/>
      <c r="O13" s="116"/>
      <c r="R13" s="517" t="s">
        <v>719</v>
      </c>
      <c r="S13" s="517"/>
      <c r="T13" s="522" t="s">
        <v>203</v>
      </c>
      <c r="U13" s="519"/>
      <c r="V13" s="519"/>
      <c r="X13" s="494"/>
      <c r="Y13" s="494"/>
      <c r="Z13" s="494"/>
      <c r="AA13" s="494"/>
      <c r="AB13" s="511"/>
      <c r="AC13" s="511"/>
      <c r="AD13" s="511"/>
      <c r="AE13" s="511"/>
      <c r="AF13" s="511"/>
      <c r="AG13" s="511"/>
    </row>
    <row r="14" spans="1:85" ht="19.5" customHeight="1">
      <c r="A14" s="116"/>
      <c r="B14" s="271" t="s">
        <v>577</v>
      </c>
      <c r="C14" s="116"/>
      <c r="D14" s="116"/>
      <c r="E14" s="274" t="s">
        <v>578</v>
      </c>
      <c r="F14" s="274" t="s">
        <v>573</v>
      </c>
      <c r="G14" s="263">
        <f>INDEX(Input!F124:F143,T37-123)</f>
        <v>0</v>
      </c>
      <c r="H14" s="271" t="s">
        <v>579</v>
      </c>
      <c r="I14" s="116"/>
      <c r="J14" s="116"/>
      <c r="K14" s="116"/>
      <c r="L14" s="116"/>
      <c r="M14" s="116"/>
      <c r="N14" s="116"/>
      <c r="O14" s="116"/>
      <c r="R14" s="97"/>
      <c r="S14" s="96"/>
      <c r="T14" s="96"/>
      <c r="U14" s="96"/>
      <c r="V14" s="96"/>
      <c r="X14" s="494" t="s">
        <v>763</v>
      </c>
      <c r="Y14" s="494"/>
      <c r="Z14" s="494"/>
      <c r="AA14" s="494"/>
      <c r="AB14" s="510" t="str">
        <f>IFERROR(IF(INDEX('_Input Engine'!$C$11:$C$20,MATCH(INDEX('_Input Engine'!$E$31:$E$50,MATCH(C9,'_Input Engine'!$A$31:$A$50,0)),'_Input Engine'!$A$11:$A$20,0))="","",INDEX('_Input Engine'!$C$11:$C$20,MATCH(INDEX('_Input Engine'!$E$31:$E$50,MATCH(C9,'_Input Engine'!$A$31:$A$50,0)),'_Input Engine'!$A$11:$A$20,0))),"")</f>
        <v/>
      </c>
      <c r="AC14" s="511"/>
      <c r="AD14" s="511"/>
      <c r="AE14" s="510" t="str">
        <f>IFERROR(IF(INDEX('_Input Engine'!$C$11:$C$20,MATCH(INDEX('_Input Engine'!$F$31:$F$50,MATCH(C9,'_Input Engine'!$A$31:$A$50,0)),'_Input Engine'!$A$11:$A$20,0))="","",INDEX('_Input Engine'!$C$11:$C$20,MATCH(INDEX('_Input Engine'!$F$31:$F$50,MATCH(C9,'_Input Engine'!$A$31:$A$50,0)),'_Input Engine'!$A$11:$A$20,0))),"")</f>
        <v/>
      </c>
      <c r="AF14" s="511"/>
      <c r="AG14" s="511"/>
    </row>
    <row r="15" spans="1:85" ht="19.5" customHeight="1">
      <c r="A15" s="116"/>
      <c r="B15" s="271" t="s">
        <v>580</v>
      </c>
      <c r="C15" s="116"/>
      <c r="D15" s="116"/>
      <c r="E15" s="274" t="s">
        <v>581</v>
      </c>
      <c r="F15" s="274" t="s">
        <v>573</v>
      </c>
      <c r="G15" s="263">
        <f>INDEX(Input!D124:D143,T37-123)</f>
        <v>0</v>
      </c>
      <c r="H15" s="271" t="s">
        <v>579</v>
      </c>
      <c r="I15" s="116"/>
      <c r="J15" s="116"/>
      <c r="K15" s="116"/>
      <c r="L15" s="116"/>
      <c r="M15" s="116"/>
      <c r="N15" s="116"/>
      <c r="O15" s="116"/>
      <c r="R15" s="97"/>
      <c r="S15" s="96"/>
      <c r="T15" s="96"/>
      <c r="U15" s="96"/>
      <c r="V15" s="96"/>
      <c r="X15" s="494"/>
      <c r="Y15" s="494"/>
      <c r="Z15" s="494"/>
      <c r="AA15" s="494"/>
      <c r="AB15" s="511"/>
      <c r="AC15" s="511"/>
      <c r="AD15" s="511"/>
      <c r="AE15" s="511"/>
      <c r="AF15" s="511"/>
      <c r="AG15" s="511"/>
    </row>
    <row r="16" spans="1:85" ht="19.5" customHeight="1">
      <c r="A16" s="116"/>
      <c r="B16" s="271" t="s">
        <v>582</v>
      </c>
      <c r="C16" s="116"/>
      <c r="D16" s="116"/>
      <c r="E16" s="274" t="s">
        <v>583</v>
      </c>
      <c r="F16" s="274" t="s">
        <v>573</v>
      </c>
      <c r="G16" s="265" t="str">
        <f>IFERROR(INDEX('Section B Concrete Cover'!$B$9:$D$10,1,MATCH(Input!$F$3,'Section B Concrete Cover'!$B$6:$D$6,0)),"")</f>
        <v/>
      </c>
      <c r="H16" s="271" t="s">
        <v>579</v>
      </c>
      <c r="I16" s="116"/>
      <c r="J16" s="116"/>
      <c r="K16" s="116"/>
      <c r="L16" s="116"/>
      <c r="M16" s="116"/>
      <c r="N16" s="116"/>
      <c r="O16" s="116"/>
      <c r="R16" s="517" t="s">
        <v>739</v>
      </c>
      <c r="S16" s="517"/>
      <c r="T16" s="508" t="s">
        <v>740</v>
      </c>
      <c r="U16" s="523"/>
      <c r="V16" s="96"/>
      <c r="X16" s="494" t="s">
        <v>762</v>
      </c>
      <c r="Y16" s="494"/>
      <c r="Z16" s="494"/>
      <c r="AA16" s="494"/>
      <c r="AB16" s="510" t="str">
        <f>IFERROR(IF(INDEX('_Input Engine'!$D$11:$D$20,MATCH(INDEX('_Input Engine'!$E$31:$E$50,MATCH(C9,'_Input Engine'!$A$31:$A$50,0)),'_Input Engine'!$A$11:$A$20,0))="","",INDEX('_Input Engine'!$D$11:$D$20,MATCH(INDEX('_Input Engine'!$E$31:$E$50,MATCH(C9,'_Input Engine'!$A$31:$A$50,0)),'_Input Engine'!$A$11:$A$20,0))),"")</f>
        <v/>
      </c>
      <c r="AC16" s="511"/>
      <c r="AD16" s="511"/>
      <c r="AE16" s="510" t="str">
        <f>IFERROR(IF(INDEX('_Input Engine'!$D$11:$D$20,MATCH(INDEX('_Input Engine'!$F$31:$F$50,MATCH(C9,'_Input Engine'!$A$31:$A$50,0)),'_Input Engine'!$A$11:$A$20,0))="","",INDEX('_Input Engine'!$D$11:$D$20,MATCH(INDEX('_Input Engine'!$F$31:$F$50,MATCH(C9,'_Input Engine'!$A$31:$A$50,0)),'_Input Engine'!$A$11:$A$20,0))),"")</f>
        <v/>
      </c>
      <c r="AF16" s="511"/>
      <c r="AG16" s="511"/>
    </row>
    <row r="17" spans="1:33" ht="19.5" customHeight="1">
      <c r="A17" s="116"/>
      <c r="B17" s="271" t="s">
        <v>584</v>
      </c>
      <c r="C17" s="116"/>
      <c r="D17" s="116"/>
      <c r="E17" s="274" t="s">
        <v>917</v>
      </c>
      <c r="F17" s="274" t="s">
        <v>573</v>
      </c>
      <c r="G17" s="263">
        <f>Input!C3</f>
        <v>0</v>
      </c>
      <c r="H17" s="271" t="s">
        <v>585</v>
      </c>
      <c r="I17" s="116"/>
      <c r="J17" s="116"/>
      <c r="K17" s="116"/>
      <c r="L17" s="112"/>
      <c r="M17" s="112"/>
      <c r="N17" s="116"/>
      <c r="O17" s="116"/>
      <c r="R17" s="97"/>
      <c r="S17" s="96"/>
      <c r="T17" s="96"/>
      <c r="U17" s="96"/>
      <c r="V17" s="96"/>
      <c r="X17" s="494"/>
      <c r="Y17" s="494"/>
      <c r="Z17" s="494"/>
      <c r="AA17" s="494"/>
      <c r="AB17" s="511"/>
      <c r="AC17" s="511"/>
      <c r="AD17" s="511"/>
      <c r="AE17" s="511"/>
      <c r="AF17" s="511"/>
      <c r="AG17" s="511"/>
    </row>
    <row r="18" spans="1:33" ht="19.5" customHeight="1">
      <c r="A18" s="116"/>
      <c r="B18" s="527" t="s">
        <v>954</v>
      </c>
      <c r="C18" s="526"/>
      <c r="D18" s="526"/>
      <c r="E18" s="274" t="s">
        <v>918</v>
      </c>
      <c r="F18" s="274" t="s">
        <v>573</v>
      </c>
      <c r="G18" s="303">
        <v>500</v>
      </c>
      <c r="H18" s="271" t="s">
        <v>585</v>
      </c>
      <c r="I18" s="116"/>
      <c r="J18" s="116"/>
      <c r="K18" s="116"/>
      <c r="L18" s="116"/>
      <c r="M18" s="116"/>
      <c r="N18" s="116"/>
      <c r="O18" s="116"/>
      <c r="R18" s="97"/>
      <c r="S18" s="96"/>
      <c r="T18" s="96"/>
      <c r="U18" s="96"/>
      <c r="V18" s="96"/>
      <c r="X18" s="494" t="s">
        <v>491</v>
      </c>
      <c r="Y18" s="494"/>
      <c r="Z18" s="494"/>
      <c r="AA18" s="494"/>
      <c r="AB18" s="510" t="str">
        <f>IFERROR(IF(INDEX('_Input Engine'!$E$11:$E$20,MATCH(INDEX('_Input Engine'!$E$31:$E$50,MATCH(C9,'_Input Engine'!$A$31:$A$50,0)),'_Input Engine'!$A$11:$A$20,0))="","",INDEX('_Input Engine'!$E$11:$E$20,MATCH(INDEX('_Input Engine'!$E$31:$E$50,MATCH(C9,'_Input Engine'!$A$31:$A$50,0)),'_Input Engine'!$A$11:$A$20,0))),"")</f>
        <v/>
      </c>
      <c r="AC18" s="511"/>
      <c r="AD18" s="511"/>
      <c r="AE18" s="510" t="str">
        <f>IFERROR(IF(INDEX('_Input Engine'!$E$11:$E$20,MATCH(INDEX('_Input Engine'!$F$31:$F$50,MATCH(C9,'_Input Engine'!$A$31:$A$50,0)),'_Input Engine'!$A$11:$A$20,0))="","",INDEX('_Input Engine'!$E$11:$E$20,MATCH(INDEX('_Input Engine'!$F$31:$F$50,MATCH(C9,'_Input Engine'!$A$31:$A$50,0)),'_Input Engine'!$A$11:$A$20,0))),"")</f>
        <v/>
      </c>
      <c r="AF18" s="511"/>
      <c r="AG18" s="511"/>
    </row>
    <row r="19" spans="1:33" ht="19.5" customHeight="1">
      <c r="A19" s="116"/>
      <c r="B19" s="527" t="s">
        <v>955</v>
      </c>
      <c r="C19" s="526"/>
      <c r="D19" s="526"/>
      <c r="E19" s="274" t="s">
        <v>919</v>
      </c>
      <c r="F19" s="274" t="s">
        <v>573</v>
      </c>
      <c r="G19" s="303">
        <v>500</v>
      </c>
      <c r="H19" s="271" t="s">
        <v>585</v>
      </c>
      <c r="I19" s="116"/>
      <c r="J19" s="116"/>
      <c r="K19" s="116"/>
      <c r="L19" s="116"/>
      <c r="M19" s="116"/>
      <c r="N19" s="116"/>
      <c r="O19" s="116"/>
      <c r="R19" s="97"/>
      <c r="S19" s="96"/>
      <c r="T19" s="96"/>
      <c r="U19" s="96"/>
      <c r="V19" s="96"/>
      <c r="X19" s="494"/>
      <c r="Y19" s="494"/>
      <c r="Z19" s="494"/>
      <c r="AA19" s="494"/>
      <c r="AB19" s="511"/>
      <c r="AC19" s="511"/>
      <c r="AD19" s="511"/>
      <c r="AE19" s="511"/>
      <c r="AF19" s="511"/>
      <c r="AG19" s="51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94" t="s">
        <v>333</v>
      </c>
      <c r="Y20" s="494"/>
      <c r="Z20" s="494"/>
      <c r="AA20" s="494"/>
      <c r="AB20" s="510" t="str">
        <f>IFERROR(IF(INDEX('_Input Engine'!$F$11:$F$20,MATCH(INDEX('_Input Engine'!$E$31:$E$50,MATCH(C9,'_Input Engine'!$A$31:$A$50,0)),'_Input Engine'!$A$11:$A$20,0))="","",INDEX('_Input Engine'!$F$11:$F$20,MATCH(INDEX('_Input Engine'!$E$31:$E$50,MATCH(C9,'_Input Engine'!$A$31:$A$50,0)),'_Input Engine'!$A$11:$A$20,0))),"")</f>
        <v/>
      </c>
      <c r="AC20" s="511"/>
      <c r="AD20" s="511"/>
      <c r="AE20" s="510" t="str">
        <f>IFERROR(IF(INDEX('_Input Engine'!$F$11:$F$20,MATCH(INDEX('_Input Engine'!$F$31:$F$50,MATCH(C9,'_Input Engine'!$A$31:$A$50,0)),'_Input Engine'!$A$11:$A$20,0))="","",INDEX('_Input Engine'!$F$11:$F$20,MATCH(INDEX('_Input Engine'!$F$31:$F$50,MATCH(C9,'_Input Engine'!$A$31:$A$50,0)),'_Input Engine'!$A$11:$A$20,0))),"")</f>
        <v/>
      </c>
      <c r="AF20" s="511"/>
      <c r="AG20" s="511"/>
    </row>
    <row r="21" spans="1:33" ht="25.05" customHeight="1">
      <c r="A21" s="116"/>
      <c r="B21" s="520" t="s">
        <v>949</v>
      </c>
      <c r="C21" s="520"/>
      <c r="D21" s="520"/>
      <c r="E21" s="521"/>
      <c r="F21" s="521"/>
      <c r="G21" s="521"/>
      <c r="H21" s="521"/>
      <c r="I21" s="521"/>
      <c r="J21" s="521"/>
      <c r="K21" s="521"/>
      <c r="L21" s="521"/>
      <c r="M21" s="521"/>
      <c r="N21" s="521"/>
      <c r="O21" s="141"/>
      <c r="R21" s="97"/>
      <c r="S21" s="96"/>
      <c r="T21" s="96"/>
      <c r="U21" s="96"/>
      <c r="V21" s="96"/>
      <c r="X21" s="494"/>
      <c r="Y21" s="494"/>
      <c r="Z21" s="494"/>
      <c r="AA21" s="494"/>
      <c r="AB21" s="511"/>
      <c r="AC21" s="511"/>
      <c r="AD21" s="511"/>
      <c r="AE21" s="511"/>
      <c r="AF21" s="511"/>
      <c r="AG21" s="511"/>
    </row>
    <row r="22" spans="1:33" ht="7.95" customHeight="1">
      <c r="A22" s="116"/>
      <c r="B22" s="116"/>
      <c r="C22" s="116"/>
      <c r="D22" s="116"/>
      <c r="E22" s="116"/>
      <c r="F22" s="116"/>
      <c r="G22" s="116"/>
      <c r="H22" s="116"/>
      <c r="I22" s="116"/>
      <c r="J22" s="116"/>
      <c r="K22" s="116"/>
      <c r="L22" s="116"/>
      <c r="M22" s="116"/>
      <c r="N22" s="116"/>
      <c r="O22" s="116"/>
      <c r="R22" s="508" t="s">
        <v>1087</v>
      </c>
      <c r="S22" s="508"/>
      <c r="T22" s="508"/>
      <c r="U22" s="508"/>
      <c r="V22" s="508"/>
      <c r="X22" s="494" t="s">
        <v>755</v>
      </c>
      <c r="Y22" s="494"/>
      <c r="Z22" s="494"/>
      <c r="AA22" s="494"/>
      <c r="AB22" s="494"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94"/>
      <c r="AD22" s="494"/>
      <c r="AE22" s="494"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94"/>
      <c r="AG22" s="494"/>
    </row>
    <row r="23" spans="1:33" ht="19.5" customHeight="1">
      <c r="A23" s="116"/>
      <c r="B23" s="271" t="s">
        <v>1134</v>
      </c>
      <c r="C23" s="116"/>
      <c r="D23" s="116"/>
      <c r="E23" s="274" t="s">
        <v>587</v>
      </c>
      <c r="F23" s="274" t="s">
        <v>573</v>
      </c>
      <c r="G23" s="299" t="str">
        <f>IF('_CB Analysis'!I25&lt;&gt;"OK","",IF(HasFullLoads73(C9),FullAction73(C9,G12,RCLoads73[#Data],"M",TRUE),AD70*G12^2/2+(1.4*AZ150+1.6*AZ151)*AZ152))</f>
        <v/>
      </c>
      <c r="H23" s="271" t="s">
        <v>588</v>
      </c>
      <c r="I23" s="116"/>
      <c r="J23" s="116"/>
      <c r="K23" s="116"/>
      <c r="L23" s="116"/>
      <c r="M23" s="116"/>
      <c r="N23" s="116"/>
      <c r="O23" s="116"/>
      <c r="R23" s="508" t="str">
        <f>IF('_CB Analysis'!I25&lt;&gt;"OK",'_CB Analysis'!I25,IF(G16="","ENTER COVER",IF(T16="Manual","MANUAL DESIGN CHECK","AUTO DESIGN CHECK")))</f>
        <v>ENTER SPAN, WIDTH AND DEPTH</v>
      </c>
      <c r="S23" s="508"/>
      <c r="T23" s="508"/>
      <c r="U23" s="508"/>
      <c r="V23" s="508"/>
      <c r="X23" s="494"/>
      <c r="Y23" s="494"/>
      <c r="Z23" s="494"/>
      <c r="AA23" s="494"/>
      <c r="AB23" s="494"/>
      <c r="AC23" s="494"/>
      <c r="AD23" s="494"/>
      <c r="AE23" s="494"/>
      <c r="AF23" s="494"/>
      <c r="AG23" s="494"/>
    </row>
    <row r="24" spans="1:33" ht="19.5" customHeight="1">
      <c r="A24" s="116"/>
      <c r="B24" s="271" t="s">
        <v>1135</v>
      </c>
      <c r="C24" s="116"/>
      <c r="D24" s="116"/>
      <c r="E24" s="274" t="s">
        <v>590</v>
      </c>
      <c r="F24" s="274" t="s">
        <v>573</v>
      </c>
      <c r="G24" s="299" t="str">
        <f>IF('_CB Analysis'!I25&lt;&gt;"OK","",IF(HasFullLoads73(C9),FullAction73(C9,G12,RCLoads73[#Data],"V",TRUE),AD70*G12+1.4*AZ150+1.6*AZ151))</f>
        <v/>
      </c>
      <c r="H24" s="271" t="s">
        <v>591</v>
      </c>
      <c r="I24" s="116"/>
      <c r="J24" s="116"/>
      <c r="K24" s="116"/>
      <c r="L24" s="116"/>
      <c r="M24" s="116"/>
      <c r="N24" s="116"/>
      <c r="O24" s="116"/>
      <c r="R24" s="508" t="s">
        <v>1153</v>
      </c>
      <c r="S24" s="508"/>
      <c r="T24" s="508"/>
      <c r="U24" s="508"/>
      <c r="V24" s="508"/>
      <c r="X24" s="494" t="s">
        <v>768</v>
      </c>
      <c r="Y24" s="494"/>
      <c r="Z24" s="494"/>
      <c r="AA24" s="494"/>
      <c r="AB24" s="494" t="str">
        <f>IF(AB8="No",0,IF(AND(ISNUMBER(AB14),AB14&gt;0),$T$43*AB14/1000,""))</f>
        <v/>
      </c>
      <c r="AC24" s="494"/>
      <c r="AD24" s="494"/>
      <c r="AE24" s="494" t="str">
        <f>IF(AE8="No",0,IF(AND(ISNUMBER(AE14),AE14&gt;0),$T$43*AE14/1000,""))</f>
        <v/>
      </c>
      <c r="AF24" s="494"/>
      <c r="AG24" s="494"/>
    </row>
    <row r="25" spans="1:33" ht="19.5" customHeight="1">
      <c r="A25" s="116"/>
      <c r="B25" s="271" t="s">
        <v>592</v>
      </c>
      <c r="C25" s="116"/>
      <c r="D25" s="116"/>
      <c r="E25" s="274" t="s">
        <v>593</v>
      </c>
      <c r="F25" s="274" t="s">
        <v>573</v>
      </c>
      <c r="G25" s="524" t="str">
        <f>IF(OR('_CB Analysis'!$I$25&lt;&gt;"OK",COUNT($G$16)&lt;&gt;1,$G$16&lt;0),"",E24&amp; " x "&amp;E13)</f>
        <v/>
      </c>
      <c r="H25" s="525"/>
      <c r="I25" s="525"/>
      <c r="J25" s="271" t="s">
        <v>573</v>
      </c>
      <c r="K25" s="264" t="str">
        <f>IF(OR('_CB Analysis'!$I$25&lt;&gt;"OK",COUNT($G$16)&lt;&gt;1,$G$16&lt;0),"",IF(ISNUMBER(G24),G24*N(G13),""))</f>
        <v/>
      </c>
      <c r="L25" s="271" t="s">
        <v>588</v>
      </c>
      <c r="M25" s="116"/>
      <c r="N25" s="116"/>
      <c r="O25" s="116"/>
      <c r="R25" s="97"/>
      <c r="S25" s="96"/>
      <c r="T25" s="96"/>
      <c r="U25" s="96"/>
      <c r="V25" s="96"/>
      <c r="X25" s="494"/>
      <c r="Y25" s="494"/>
      <c r="Z25" s="494"/>
      <c r="AA25" s="494"/>
      <c r="AB25" s="494"/>
      <c r="AC25" s="494"/>
      <c r="AD25" s="494"/>
      <c r="AE25" s="494"/>
      <c r="AF25" s="494"/>
      <c r="AG25" s="494"/>
    </row>
    <row r="26" spans="1:33" ht="7.95" customHeight="1">
      <c r="A26" s="116"/>
      <c r="B26" s="526"/>
      <c r="C26" s="526"/>
      <c r="D26" s="526"/>
      <c r="E26" s="116"/>
      <c r="F26" s="112"/>
      <c r="G26" s="113"/>
      <c r="H26" s="113"/>
      <c r="I26" s="116"/>
      <c r="J26" s="116"/>
      <c r="K26" s="116"/>
      <c r="L26" s="116"/>
      <c r="M26" s="116"/>
      <c r="N26" s="116"/>
      <c r="O26" s="116"/>
      <c r="R26" s="508" t="s">
        <v>1100</v>
      </c>
      <c r="S26" s="508"/>
      <c r="T26" s="508"/>
      <c r="U26" s="508"/>
      <c r="V26" s="508"/>
      <c r="X26" s="494" t="s">
        <v>767</v>
      </c>
      <c r="Y26" s="494"/>
      <c r="Z26" s="494"/>
      <c r="AA26" s="494"/>
      <c r="AB26" s="494" t="str">
        <f>IF(AB8="No",0,IF(AND(AB10="Simply-supported",ISNUMBER(AB12),AB12&gt;0),AB12/2,""))</f>
        <v/>
      </c>
      <c r="AC26" s="494"/>
      <c r="AD26" s="494"/>
      <c r="AE26" s="494" t="str">
        <f>IF(AE8="No",0,IF(AND(AE10="Simply-supported",ISNUMBER(AE12),AE12&gt;0),AE12/2,""))</f>
        <v/>
      </c>
      <c r="AF26" s="494"/>
      <c r="AG26" s="494"/>
    </row>
    <row r="27" spans="1:33" ht="25.05" customHeight="1">
      <c r="A27" s="116"/>
      <c r="B27" s="146" t="s">
        <v>950</v>
      </c>
      <c r="C27" s="146"/>
      <c r="D27" s="146"/>
      <c r="E27" s="141"/>
      <c r="F27" s="142"/>
      <c r="G27" s="143"/>
      <c r="H27" s="143"/>
      <c r="I27" s="141"/>
      <c r="J27" s="141"/>
      <c r="K27" s="141"/>
      <c r="L27" s="141"/>
      <c r="M27" s="141"/>
      <c r="N27" s="144" t="s">
        <v>594</v>
      </c>
      <c r="O27" s="141"/>
      <c r="R27" s="508" t="s">
        <v>1101</v>
      </c>
      <c r="S27" s="508"/>
      <c r="T27" s="508"/>
      <c r="U27" s="508"/>
      <c r="V27" s="508"/>
      <c r="X27" s="494"/>
      <c r="Y27" s="494"/>
      <c r="Z27" s="494"/>
      <c r="AA27" s="494"/>
      <c r="AB27" s="494"/>
      <c r="AC27" s="494"/>
      <c r="AD27" s="494"/>
      <c r="AE27" s="494"/>
      <c r="AF27" s="494"/>
      <c r="AG27" s="494"/>
    </row>
    <row r="28" spans="1:33" ht="7.95" customHeight="1">
      <c r="A28" s="116"/>
      <c r="B28" s="116"/>
      <c r="C28" s="116"/>
      <c r="D28" s="116"/>
      <c r="E28" s="116"/>
      <c r="F28" s="116"/>
      <c r="G28" s="116"/>
      <c r="H28" s="116"/>
      <c r="I28" s="116"/>
      <c r="J28" s="116"/>
      <c r="K28" s="116"/>
      <c r="L28" s="116"/>
      <c r="M28" s="116"/>
      <c r="N28" s="116"/>
      <c r="O28" s="116"/>
      <c r="R28" s="508"/>
      <c r="S28" s="508"/>
      <c r="T28" s="508"/>
      <c r="U28" s="508"/>
      <c r="V28" s="508"/>
      <c r="X28" s="418" t="s">
        <v>1102</v>
      </c>
      <c r="Y28" s="418"/>
      <c r="Z28" s="418"/>
      <c r="AA28" s="418"/>
      <c r="AB28" s="418"/>
      <c r="AC28" s="418"/>
      <c r="AD28" s="418"/>
      <c r="AE28" s="418"/>
      <c r="AF28" s="418"/>
      <c r="AG28" s="418"/>
    </row>
    <row r="29" spans="1:33" ht="19.5" customHeight="1">
      <c r="A29" s="116"/>
      <c r="B29" s="271" t="s">
        <v>1136</v>
      </c>
      <c r="C29" s="116"/>
      <c r="D29" s="116"/>
      <c r="E29" s="274" t="s">
        <v>596</v>
      </c>
      <c r="F29" s="274" t="s">
        <v>573</v>
      </c>
      <c r="G29" s="277" t="str">
        <f>IF(OR('_CB Analysis'!$I$25&lt;&gt;"OK",COUNT($G$16)&lt;&gt;1,$G$16&lt;0),"",'_CB Helpers'!Q44)</f>
        <v/>
      </c>
      <c r="H29" s="271" t="s">
        <v>579</v>
      </c>
      <c r="I29" s="116"/>
      <c r="J29" s="116"/>
      <c r="K29" s="116"/>
      <c r="L29" s="116"/>
      <c r="M29" s="116"/>
      <c r="N29" s="116"/>
      <c r="O29" s="116"/>
      <c r="R29" s="509" t="str">
        <f>IF('_Input Engine'!$F$4="","Fire resistance: INPUT REQUIRED at top of Beam Loading","Fire resistance: "&amp;'_Input Engine'!$F$4&amp;" hr (common). Cover from Section B Concrete Cover.")</f>
        <v>Fire resistance: INPUT REQUIRED at top of Beam Loading</v>
      </c>
      <c r="S29" s="509"/>
      <c r="T29" s="509"/>
      <c r="U29" s="509"/>
      <c r="V29" s="509"/>
      <c r="X29" s="418"/>
      <c r="Y29" s="418"/>
      <c r="Z29" s="418"/>
      <c r="AA29" s="418"/>
      <c r="AB29" s="418"/>
      <c r="AC29" s="418"/>
      <c r="AD29" s="418"/>
      <c r="AE29" s="418"/>
      <c r="AF29" s="418"/>
      <c r="AG29" s="418"/>
    </row>
    <row r="30" spans="1:33" ht="19.5" customHeight="1">
      <c r="A30" s="116"/>
      <c r="B30" s="116"/>
      <c r="C30" s="116"/>
      <c r="D30" s="116"/>
      <c r="E30" s="274" t="s">
        <v>597</v>
      </c>
      <c r="F30" s="274" t="s">
        <v>573</v>
      </c>
      <c r="G30" s="278" t="s">
        <v>920</v>
      </c>
      <c r="H30" s="111"/>
      <c r="I30" s="116"/>
      <c r="J30" s="274" t="s">
        <v>573</v>
      </c>
      <c r="K30" s="279" t="str">
        <f>IF(OR('_CB Analysis'!$I$25&lt;&gt;"OK",COUNT($G$16)&lt;&gt;1,$G$16&lt;0),"",ROUND(G23*10^6/(G14*G29^2*G17),3))</f>
        <v/>
      </c>
      <c r="L30" s="116"/>
      <c r="M30" s="116"/>
      <c r="N30" s="280" t="s">
        <v>598</v>
      </c>
      <c r="O30" s="116"/>
      <c r="R30" s="509"/>
      <c r="S30" s="509"/>
      <c r="T30" s="509"/>
      <c r="U30" s="509"/>
      <c r="V30" s="509"/>
      <c r="X30" s="418"/>
      <c r="Y30" s="418"/>
      <c r="Z30" s="418"/>
      <c r="AA30" s="418"/>
      <c r="AB30" s="418"/>
      <c r="AC30" s="418"/>
      <c r="AD30" s="418"/>
      <c r="AE30" s="418"/>
      <c r="AF30" s="418"/>
      <c r="AG30" s="418"/>
    </row>
    <row r="31" spans="1:33" ht="19.5" customHeight="1">
      <c r="A31" s="116"/>
      <c r="B31" s="116"/>
      <c r="C31" s="116"/>
      <c r="D31" s="116"/>
      <c r="E31" s="112"/>
      <c r="F31" s="274" t="str">
        <f>IF(OR('_CB Analysis'!$I$25&lt;&gt;"OK",COUNT($G$16)&lt;&gt;1,$G$16&lt;0),"",IF(K30&gt;K31,"&gt;","&lt;"))</f>
        <v/>
      </c>
      <c r="G31" s="112"/>
      <c r="H31" s="112"/>
      <c r="I31" s="277" t="s">
        <v>599</v>
      </c>
      <c r="J31" s="274" t="s">
        <v>573</v>
      </c>
      <c r="K31" s="279" t="str">
        <f>IF(OR('_CB Analysis'!$I$25&lt;&gt;"OK",COUNT($G$16)&lt;&gt;1,$G$16&lt;0),"",IF(G17&lt;=45,0.156,IF(G17&lt;70,0.12,0.094)))</f>
        <v/>
      </c>
      <c r="L31" s="116"/>
      <c r="M31" s="116"/>
      <c r="N31" s="280" t="s">
        <v>600</v>
      </c>
      <c r="O31" s="116"/>
      <c r="R31" s="508" t="s">
        <v>751</v>
      </c>
      <c r="S31" s="508"/>
      <c r="T31" s="508"/>
      <c r="U31" s="508"/>
      <c r="V31" s="508"/>
      <c r="X31" s="418"/>
      <c r="Y31" s="418"/>
      <c r="Z31" s="418"/>
      <c r="AA31" s="418"/>
      <c r="AB31" s="418"/>
      <c r="AC31" s="418"/>
      <c r="AD31" s="418"/>
      <c r="AE31" s="418"/>
      <c r="AF31" s="418"/>
      <c r="AG31" s="418"/>
    </row>
    <row r="32" spans="1:33" ht="19.5" customHeight="1">
      <c r="A32" s="116"/>
      <c r="B32" s="116"/>
      <c r="C32" s="116"/>
      <c r="D32" s="277" t="s">
        <v>921</v>
      </c>
      <c r="E32" s="281" t="str">
        <f>IF(OR('_CB Analysis'!$I$25&lt;&gt;"OK",COUNT($G$16)&lt;&gt;1,$G$16&lt;0),"","Compression reinforcement is"&amp;IF(F31="&gt;"," "," not ")&amp;"required")</f>
        <v/>
      </c>
      <c r="F32" s="112"/>
      <c r="G32" s="112"/>
      <c r="H32" s="112"/>
      <c r="I32" s="113"/>
      <c r="J32" s="112"/>
      <c r="K32" s="118"/>
      <c r="L32" s="116"/>
      <c r="M32" s="116"/>
      <c r="N32" s="139"/>
      <c r="O32" s="116"/>
      <c r="R32" s="508"/>
      <c r="S32" s="508"/>
      <c r="T32" s="508"/>
      <c r="U32" s="508"/>
      <c r="V32" s="508"/>
      <c r="X32"/>
      <c r="Y32"/>
      <c r="Z32"/>
      <c r="AA32"/>
      <c r="AB32"/>
      <c r="AC32"/>
      <c r="AD32"/>
      <c r="AE32"/>
      <c r="AF32"/>
      <c r="AG32"/>
    </row>
    <row r="33" spans="1:85" ht="19.5" customHeight="1">
      <c r="A33" s="116"/>
      <c r="B33" s="271" t="s">
        <v>956</v>
      </c>
      <c r="C33" s="116"/>
      <c r="D33" s="116"/>
      <c r="E33" s="274" t="s">
        <v>601</v>
      </c>
      <c r="F33" s="274" t="s">
        <v>573</v>
      </c>
      <c r="G33" s="278" t="str">
        <f>IF(OR('_CB Analysis'!$I$25&lt;&gt;"OK",COUNT($G$16)&lt;&gt;1,$G$16&lt;0),"","d(0.5+     0.25-"&amp;IF(K30&gt;K31,"K'","K")&amp;"/0.9)")</f>
        <v/>
      </c>
      <c r="H33" s="111"/>
      <c r="I33" s="113"/>
      <c r="J33" s="274" t="s">
        <v>573</v>
      </c>
      <c r="K33" s="282" t="str">
        <f>IF(OR('_CB Analysis'!$I$25&lt;&gt;"OK",COUNT($G$16)&lt;&gt;1,$G$16&lt;0),"",IF(K30&gt;K31,0.5+(0.25-K31/0.9)^0.5,0.5+(0.25-K30/0.9)^0.5))</f>
        <v/>
      </c>
      <c r="L33" s="271" t="s">
        <v>596</v>
      </c>
      <c r="M33" s="116"/>
      <c r="N33" s="280" t="str">
        <f>IF(OR('_CB Analysis'!$I$25&lt;&gt;"OK",COUNT($G$16)&lt;&gt;1,$G$16&lt;0),"",IF(K30&gt;K31,"…6.13","…6.10"))</f>
        <v/>
      </c>
      <c r="O33" s="116"/>
      <c r="R33" s="508" t="s">
        <v>757</v>
      </c>
      <c r="S33" s="508"/>
      <c r="T33" s="508"/>
      <c r="U33" s="508"/>
      <c r="V33" s="508"/>
      <c r="X33"/>
      <c r="Y33"/>
      <c r="Z33"/>
      <c r="AA33"/>
      <c r="AB33"/>
      <c r="AC33"/>
      <c r="AD33"/>
      <c r="AE33"/>
      <c r="AF33"/>
      <c r="AG33"/>
    </row>
    <row r="34" spans="1:85" ht="19.5" customHeight="1">
      <c r="A34" s="116"/>
      <c r="B34" s="116"/>
      <c r="C34" s="116"/>
      <c r="D34" s="116"/>
      <c r="E34" s="112"/>
      <c r="F34" s="112"/>
      <c r="G34" s="112"/>
      <c r="H34" s="112"/>
      <c r="I34" s="113"/>
      <c r="J34" s="274" t="str">
        <f>IF(OR('_CB Analysis'!$I$25&lt;&gt;"OK",COUNT($G$16)&lt;&gt;1,$G$16&lt;0),"",IF(K33&gt;K34,"&gt;","&lt;"))</f>
        <v/>
      </c>
      <c r="K34" s="282">
        <v>0.95</v>
      </c>
      <c r="L34" s="271" t="s">
        <v>596</v>
      </c>
      <c r="M34" s="116"/>
      <c r="N34" s="139"/>
      <c r="O34" s="116"/>
      <c r="R34" s="508"/>
      <c r="S34" s="508"/>
      <c r="T34" s="508"/>
      <c r="U34" s="508"/>
      <c r="V34" s="508"/>
      <c r="X34"/>
      <c r="Y34"/>
      <c r="Z34"/>
      <c r="AA34"/>
      <c r="AB34"/>
      <c r="AC34"/>
      <c r="AD34"/>
      <c r="AE34"/>
      <c r="AF34"/>
      <c r="AG34"/>
    </row>
    <row r="35" spans="1:85" ht="19.5" customHeight="1">
      <c r="A35" s="116"/>
      <c r="B35" s="116"/>
      <c r="C35" s="116"/>
      <c r="D35" s="277" t="s">
        <v>921</v>
      </c>
      <c r="E35" s="274" t="s">
        <v>601</v>
      </c>
      <c r="F35" s="274" t="s">
        <v>573</v>
      </c>
      <c r="G35" s="277" t="str">
        <f>IF(OR('_CB Analysis'!$I$25&lt;&gt;"OK",COUNT($G$16)&lt;&gt;1,$G$16&lt;0),"",ROUND(MIN(K33:K34)*G29,0))</f>
        <v/>
      </c>
      <c r="H35" s="278" t="s">
        <v>579</v>
      </c>
      <c r="I35" s="116"/>
      <c r="J35" s="112"/>
      <c r="K35" s="118"/>
      <c r="L35" s="116"/>
      <c r="M35" s="116"/>
      <c r="N35" s="139"/>
      <c r="O35" s="116"/>
      <c r="R35" s="96"/>
      <c r="S35" s="96"/>
      <c r="T35" s="96" t="str">
        <f>C9&amp;"|"&amp;G12&amp;"|"&amp;G14&amp;"|"&amp;G15&amp;"|"&amp;G23&amp;"|"&amp;G24&amp;"|"&amp;G13</f>
        <v>CB1|0|0|0|||0</v>
      </c>
      <c r="U35" s="96"/>
      <c r="V35" s="96"/>
      <c r="X35"/>
      <c r="Y35"/>
      <c r="Z35"/>
      <c r="AA35"/>
      <c r="AB35"/>
      <c r="AC35"/>
      <c r="AD35"/>
      <c r="AE35"/>
      <c r="AF35"/>
      <c r="AG35"/>
    </row>
    <row r="36" spans="1:85" ht="19.5" customHeight="1">
      <c r="A36" s="116"/>
      <c r="B36" s="528" t="s">
        <v>602</v>
      </c>
      <c r="C36" s="116"/>
      <c r="D36" s="113"/>
      <c r="E36" s="524" t="s">
        <v>922</v>
      </c>
      <c r="F36" s="524" t="s">
        <v>573</v>
      </c>
      <c r="G36" s="524" t="s">
        <v>923</v>
      </c>
      <c r="H36" s="525"/>
      <c r="I36" s="116"/>
      <c r="J36" s="524" t="s">
        <v>573</v>
      </c>
      <c r="K36" s="530" t="str">
        <f>IF(OR('_CB Analysis'!$I$25&lt;&gt;"OK",COUNT($G$16)&lt;&gt;1,$G$16&lt;0),"",ROUND(IF(K30&gt;K31,((K30-K31)*G17*G14*G29^2)/(0.87*G18*('_CB Helpers'!Q44-'_CB Helpers'!Q40)),0),0))</f>
        <v/>
      </c>
      <c r="L36" s="532" t="s">
        <v>916</v>
      </c>
      <c r="M36" s="114"/>
      <c r="N36" s="534" t="s">
        <v>603</v>
      </c>
      <c r="O36" s="116"/>
      <c r="R36" s="96"/>
      <c r="S36" s="96"/>
      <c r="T36" s="96"/>
      <c r="U36" s="96"/>
      <c r="V36" s="96"/>
      <c r="BR36" s="492" t="s">
        <v>1152</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R37" s="96"/>
      <c r="S37" s="96"/>
      <c r="T37" s="96">
        <v>124</v>
      </c>
      <c r="U37" s="96"/>
      <c r="V37" s="96"/>
      <c r="X37"/>
      <c r="Y37"/>
      <c r="Z37"/>
      <c r="AA37"/>
      <c r="AB37"/>
      <c r="AC37"/>
      <c r="AD37"/>
      <c r="AE37"/>
      <c r="AF37"/>
      <c r="AG37"/>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IF(OR('_CB Analysis'!$I$25&lt;&gt;"OK",COUNT($G$16)&lt;&gt;1,$G$16&lt;0),"",IF(K30&gt;K31,"K' fcu b d²)","M"))</f>
        <v/>
      </c>
      <c r="H38" s="525"/>
      <c r="I38" s="528" t="str">
        <f>IF(OR('_CB Analysis'!$I$25&lt;&gt;"OK",COUNT($G$16)&lt;&gt;1,$G$16&lt;0),"",IF(K30&gt;K31," + As'",""))</f>
        <v/>
      </c>
      <c r="J38" s="524" t="s">
        <v>573</v>
      </c>
      <c r="K38" s="530" t="str">
        <f>IF(OR('_CB Analysis'!$I$25&lt;&gt;"OK",COUNT($G$16)&lt;&gt;1,$G$16&lt;0),"",ROUND(IF(K30&gt;K31,K31*G17*G14*G29^2/(0.87*G18*G35)+K36,G23*10^6/(0.87*G18*G35)),0))</f>
        <v/>
      </c>
      <c r="L38" s="532" t="s">
        <v>916</v>
      </c>
      <c r="M38" s="114"/>
      <c r="N38" s="534" t="str">
        <f>IF(OR('_CB Analysis'!$I$25&lt;&gt;"OK",COUNT($G$16)&lt;&gt;1,$G$16&lt;0),"",IF(K30&gt;K31,"…6.16","…6.12"))</f>
        <v/>
      </c>
      <c r="O38" s="116"/>
      <c r="R38" s="97"/>
      <c r="S38" s="96"/>
      <c r="T38" s="96"/>
      <c r="U38" s="96"/>
      <c r="V38" s="96"/>
      <c r="X38"/>
      <c r="Y38"/>
      <c r="Z38"/>
      <c r="AA38"/>
      <c r="AB38"/>
      <c r="AC38"/>
      <c r="AD38"/>
      <c r="AE38"/>
      <c r="AF38"/>
      <c r="AG38"/>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97"/>
      <c r="S39" s="96"/>
      <c r="T39" s="96"/>
      <c r="U39" s="96"/>
      <c r="V39" s="96"/>
      <c r="X39"/>
      <c r="Y39"/>
      <c r="Z39"/>
      <c r="AA39"/>
      <c r="AB39"/>
      <c r="AC39"/>
      <c r="AD39"/>
      <c r="AE39"/>
      <c r="AF39"/>
      <c r="AG39"/>
      <c r="BR39" s="493"/>
      <c r="BS39" s="493"/>
      <c r="BT39" s="493"/>
      <c r="BU39" s="493"/>
      <c r="BV39" s="493"/>
      <c r="BW39" s="493"/>
      <c r="BX39" s="493"/>
      <c r="BY39" s="493"/>
      <c r="BZ39" s="493"/>
      <c r="CA39" s="493"/>
      <c r="CB39" s="493"/>
      <c r="CC39" s="493"/>
      <c r="CD39" s="493"/>
      <c r="CE39" s="493"/>
      <c r="CF39" s="493"/>
      <c r="CG39" s="493"/>
    </row>
    <row r="40" spans="1:85" ht="19.5" customHeight="1">
      <c r="A40" s="116"/>
      <c r="B40" s="271" t="s">
        <v>1137</v>
      </c>
      <c r="C40" s="304">
        <v>2</v>
      </c>
      <c r="D40" s="305">
        <v>16</v>
      </c>
      <c r="E40" s="274" t="s">
        <v>926</v>
      </c>
      <c r="F40" s="274" t="s">
        <v>573</v>
      </c>
      <c r="G40" s="271" t="str">
        <f>IF(OR('_CB Analysis'!$I$25&lt;&gt;"OK",COUNT($G$16)&lt;&gt;1,$G$16&lt;0),"",ROUND(CBBeamSteelArea(40,$C$40:$D$47,$C$110:$D$117,$G$14:$G$16,$G$58),0))</f>
        <v/>
      </c>
      <c r="H40" s="271" t="s">
        <v>362</v>
      </c>
      <c r="I40" s="285" t="str">
        <f>IF(OR('_CB Analysis'!$I$25&lt;&gt;"OK",COUNT($G$16)&lt;&gt;1,$G$16&lt;0),"",", "&amp;ROUND(G40/(G14*G15)*100,2)&amp;"%)")</f>
        <v/>
      </c>
      <c r="J40" s="116"/>
      <c r="K40" s="112"/>
      <c r="L40" s="119"/>
      <c r="M40" s="119"/>
      <c r="N40" s="286" t="str">
        <f>IF(OR('_CB Analysis'!$I$25&lt;&gt;"OK",COUNT($G$16)&lt;&gt;1,$G$16&lt;0),"",IF(OR(NOT(CBBeamBarsFit(40,$C$40:$D$47,$C$110:$D$117,$G$14:$G$16,$G$58)),G40/(G14*G15)*100&gt;MIN(4,T11)),"NOT OKAY",IF(G40=0,"NOT OKAY",IF((K36&gt;G40),"NOT OKAY",IF(ROUND(G40/(G14*G15)*100,2)&lt;IF(K36=0,0.13,0.2),"NOT OKAY",IF(ROUND(G40/(G14*G15)*100,2)&gt;T11,"NOT OKAY","OKAY"))))))</f>
        <v/>
      </c>
      <c r="O40" s="132"/>
      <c r="R40" s="517" t="str">
        <f>IF('_CB Analysis'!I25&lt;&gt;"OK","INPUT REQUIRED",IF(AND(N40="OKAY",N44="OKAY",N52="OKAY",N59="OKAY",N69="OKAY",N77="OKAY",N78="OKAY",N87="OKAY",CBBeamGroupsFit(C40:D47,C110:D117,G14:G16,G58),BarSizeRule84(C40:D47,C110:D117)),"OKAY","NOT OKAY"))</f>
        <v>INPUT REQUIRED</v>
      </c>
      <c r="S40" s="517"/>
      <c r="T40" s="517"/>
      <c r="U40" s="517"/>
      <c r="V40" s="517"/>
      <c r="X40"/>
      <c r="Y40"/>
      <c r="Z40"/>
      <c r="AA40"/>
      <c r="AB40"/>
      <c r="AC40"/>
      <c r="AD40"/>
      <c r="AE40"/>
      <c r="AF40"/>
      <c r="AG40"/>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c r="D41" s="305"/>
      <c r="E41" s="116"/>
      <c r="F41" s="116"/>
      <c r="G41" s="116"/>
      <c r="H41" s="116"/>
      <c r="I41" s="116"/>
      <c r="J41" s="116"/>
      <c r="K41" s="112"/>
      <c r="L41" s="119"/>
      <c r="M41" s="119"/>
      <c r="N41" s="538" t="str">
        <f>IF(OR('_CB Analysis'!$I$25&lt;&gt;"OK",COUNT($G$16)&lt;&gt;1,$G$16&lt;0),"",IF(K36=0,"",IF((K36&gt;G40),"(Increase As')",IF(ROUND(G40/(G14*G15)*100,2)&lt;0.2,"(Increase As')",IF(ROUND(G40/(G14*G15)*100,2)&gt;4,"(Decrease As')","")))))</f>
        <v/>
      </c>
      <c r="O41" s="539"/>
      <c r="R41" s="517"/>
      <c r="S41" s="517"/>
      <c r="T41" s="517"/>
      <c r="U41" s="517"/>
      <c r="V41" s="517"/>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c r="D42" s="305"/>
      <c r="E42" s="116"/>
      <c r="F42" s="116"/>
      <c r="G42" s="116"/>
      <c r="H42" s="116"/>
      <c r="I42" s="116"/>
      <c r="J42" s="116"/>
      <c r="K42" s="112"/>
      <c r="L42" s="119"/>
      <c r="M42" s="119"/>
      <c r="N42" s="116"/>
      <c r="O42" s="113"/>
      <c r="R42"/>
      <c r="S42"/>
      <c r="T42">
        <f>N(INDEX(Input!L124:L143,T37-123))</f>
        <v>0</v>
      </c>
      <c r="U42"/>
      <c r="V42" s="96"/>
    </row>
    <row r="43" spans="1:85" ht="19.5" customHeight="1">
      <c r="A43" s="116"/>
      <c r="B43" s="277" t="s">
        <v>609</v>
      </c>
      <c r="C43" s="304"/>
      <c r="D43" s="305"/>
      <c r="E43" s="116"/>
      <c r="F43" s="116"/>
      <c r="G43" s="116"/>
      <c r="H43" s="116"/>
      <c r="I43" s="116"/>
      <c r="J43" s="116"/>
      <c r="K43" s="112"/>
      <c r="L43" s="119"/>
      <c r="M43" s="119"/>
      <c r="N43" s="116"/>
      <c r="O43" s="113"/>
      <c r="R43" s="431" t="s">
        <v>769</v>
      </c>
      <c r="S43" s="431"/>
      <c r="T43" s="507">
        <v>24.5</v>
      </c>
      <c r="U43" s="431"/>
      <c r="V43" s="431"/>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1138</v>
      </c>
      <c r="C44" s="304">
        <v>2</v>
      </c>
      <c r="D44" s="305">
        <v>16</v>
      </c>
      <c r="E44" s="274" t="s">
        <v>927</v>
      </c>
      <c r="F44" s="274" t="s">
        <v>573</v>
      </c>
      <c r="G44" s="271" t="str">
        <f>IF(OR('_CB Analysis'!$I$25&lt;&gt;"OK",COUNT($G$16)&lt;&gt;1,$G$16&lt;0),"",ROUND(CBBeamSteelArea(44,$C$40:$D$47,$C$110:$D$117,$G$14:$G$16,$G$58),0))</f>
        <v/>
      </c>
      <c r="H44" s="271" t="s">
        <v>362</v>
      </c>
      <c r="I44" s="285" t="str">
        <f>IF(OR('_CB Analysis'!$I$25&lt;&gt;"OK",COUNT($G$16)&lt;&gt;1,$G$16&lt;0),"",", "&amp;ROUND(G44/(G14*G15)*100,2)&amp;"%)")</f>
        <v/>
      </c>
      <c r="J44" s="116"/>
      <c r="K44" s="116"/>
      <c r="L44" s="116"/>
      <c r="M44" s="116"/>
      <c r="N44" s="286" t="str">
        <f>IF(OR('_CB Analysis'!$I$25&lt;&gt;"OK",COUNT($G$16)&lt;&gt;1,$G$16&lt;0),"",IF(OR(NOT(CBBeamBarsFit(44,$C$40:$D$47,$C$110:$D$117,$G$14:$G$16,$G$58)),G44/(G14*G15)*100&gt;MIN(4,T11)),"NOT OKAY",IF((G44&gt;=K38)*AND(ROUND(G44/(G14*G15)*100,2)&gt;0.13)*AND(G44/(G14*G15)*100&lt;=MIN(4,T11)),"OKAY","NOT OKAY")))</f>
        <v/>
      </c>
      <c r="O44" s="132"/>
      <c r="R44" s="431"/>
      <c r="S44" s="431"/>
      <c r="T44" s="431"/>
      <c r="U44" s="431"/>
      <c r="V44" s="431"/>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c r="D45" s="305"/>
      <c r="E45" s="116"/>
      <c r="F45" s="112"/>
      <c r="G45" s="116"/>
      <c r="H45" s="116"/>
      <c r="I45" s="116"/>
      <c r="J45" s="116"/>
      <c r="K45" s="116"/>
      <c r="L45" s="116"/>
      <c r="M45" s="116"/>
      <c r="N45" s="538" t="str">
        <f>IF(OR('_CB Analysis'!$I$25&lt;&gt;"OK",COUNT($G$16)&lt;&gt;1,$G$16&lt;0),"",IF((K38&gt;G44),"(Increase As)",IF(ROUND(G44/(G14*G15)*100,2)&lt;0.13,"(Increase As)",IF(ROUND(G44/(G14*G15)*100,2)&gt;4,"(Decrease As)",""))))</f>
        <v/>
      </c>
      <c r="O45" s="539"/>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c r="D46" s="305"/>
      <c r="E46" s="116"/>
      <c r="F46" s="116"/>
      <c r="G46" s="116"/>
      <c r="H46" s="116"/>
      <c r="I46" s="116"/>
      <c r="J46" s="116"/>
      <c r="K46" s="116"/>
      <c r="L46" s="116"/>
      <c r="M46" s="116"/>
      <c r="N46" s="116"/>
      <c r="O46" s="116"/>
    </row>
    <row r="47" spans="1:85" ht="19.5" customHeight="1">
      <c r="A47" s="116"/>
      <c r="B47" s="277" t="s">
        <v>609</v>
      </c>
      <c r="C47" s="304"/>
      <c r="D47" s="305"/>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95" t="s">
        <v>770</v>
      </c>
      <c r="S48" s="495"/>
      <c r="T48" s="495"/>
      <c r="U48" s="495"/>
      <c r="V48" s="495"/>
      <c r="W48" s="495"/>
      <c r="X48" s="495"/>
      <c r="Y48" s="495"/>
      <c r="Z48" s="495"/>
      <c r="AA48" s="495"/>
      <c r="AB48" s="495"/>
      <c r="AC48" s="495"/>
      <c r="AD48" s="495"/>
      <c r="AE48" s="495"/>
      <c r="AF48" s="495"/>
      <c r="AG48" s="495"/>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96"/>
      <c r="S49" s="496"/>
      <c r="T49" s="496"/>
      <c r="U49" s="496"/>
      <c r="V49" s="496"/>
      <c r="W49" s="496"/>
      <c r="X49" s="496"/>
      <c r="Y49" s="496"/>
      <c r="Z49" s="496"/>
      <c r="AA49" s="496"/>
      <c r="AB49" s="496"/>
      <c r="AC49" s="496"/>
      <c r="AD49" s="496"/>
      <c r="AE49" s="496"/>
      <c r="AF49" s="496"/>
      <c r="AG49" s="496"/>
      <c r="BR49" s="484" t="s">
        <v>1140</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R50" s="98"/>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IF(OR('_CB Analysis'!$I$25&lt;&gt;"OK",COUNT($G$16)&lt;&gt;1,$G$16&lt;0),"",ROUND(G24*1000/(G14*G29),3))</f>
        <v/>
      </c>
      <c r="L51" s="289" t="s">
        <v>585</v>
      </c>
      <c r="M51" s="119"/>
      <c r="N51" s="280" t="s">
        <v>615</v>
      </c>
      <c r="O51" s="113"/>
      <c r="R51" s="495" t="s">
        <v>771</v>
      </c>
      <c r="S51" s="495"/>
      <c r="T51" s="495"/>
      <c r="U51" s="495"/>
      <c r="V51" s="495"/>
      <c r="W51" s="495"/>
      <c r="X51" s="495" t="s">
        <v>772</v>
      </c>
      <c r="Y51" s="495"/>
      <c r="Z51" s="495"/>
      <c r="AA51" s="495" t="s">
        <v>773</v>
      </c>
      <c r="AB51" s="495"/>
      <c r="AC51" s="495"/>
      <c r="AD51" s="495" t="s">
        <v>774</v>
      </c>
      <c r="AE51" s="495"/>
      <c r="AF51" s="495"/>
      <c r="AG51" s="495"/>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IF(OR('_CB Analysis'!$I$25&lt;&gt;"OK",COUNT($G$16)&lt;&gt;1,$G$16&lt;0),"",IF(K51&gt;G52,"&gt;","&lt;"))</f>
        <v/>
      </c>
      <c r="G52" s="290">
        <v>7</v>
      </c>
      <c r="H52" s="289" t="s">
        <v>585</v>
      </c>
      <c r="I52" s="116"/>
      <c r="J52" s="274" t="str">
        <f>IF(OR('_CB Analysis'!$I$25&lt;&gt;"OK",COUNT($G$16)&lt;&gt;1,$G$16&lt;0),"",IF(K51&gt;(0.8*G17^0.5),"&gt;","&lt;"))</f>
        <v/>
      </c>
      <c r="K52" s="278" t="s">
        <v>928</v>
      </c>
      <c r="L52" s="119"/>
      <c r="M52" s="119"/>
      <c r="N52" s="286" t="str">
        <f>IF(OR('_CB Analysis'!$I$25&lt;&gt;"OK",COUNT($G$16)&lt;&gt;1,$G$16&lt;0),"",IF(K51&lt;(MIN(G52,0.8*G17^0.5)),"OKAY","NOT OKAY"))</f>
        <v/>
      </c>
      <c r="O52" s="116"/>
      <c r="R52" s="496"/>
      <c r="S52" s="496"/>
      <c r="T52" s="496"/>
      <c r="U52" s="496"/>
      <c r="V52" s="496"/>
      <c r="W52" s="496"/>
      <c r="X52" s="496"/>
      <c r="Y52" s="496"/>
      <c r="Z52" s="496"/>
      <c r="AA52" s="496"/>
      <c r="AB52" s="496"/>
      <c r="AC52" s="496"/>
      <c r="AD52" s="496"/>
      <c r="AE52" s="496"/>
      <c r="AF52" s="496"/>
      <c r="AG52" s="496"/>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IF(OR('_CB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IF(OR('_CB Analysis'!$I$25&lt;&gt;"OK",COUNT($G$16)&lt;&gt;1,$G$16&lt;0),"",MIN(MAX(0.4,0.4*(G17/40)^(2/3)),0.4*(80/40)^(2/3)))</f>
        <v/>
      </c>
      <c r="H54" s="289" t="s">
        <v>585</v>
      </c>
      <c r="I54" s="116"/>
      <c r="J54" s="116"/>
      <c r="K54" s="116"/>
      <c r="L54" s="116"/>
      <c r="M54" s="116"/>
      <c r="N54" s="280" t="s">
        <v>619</v>
      </c>
      <c r="O54" s="113"/>
      <c r="R54" s="494" t="s">
        <v>775</v>
      </c>
      <c r="S54" s="494"/>
      <c r="T54" s="494"/>
      <c r="U54" s="494"/>
      <c r="V54" s="494"/>
      <c r="W54" s="494"/>
      <c r="X54" s="506" t="str">
        <f>IF(AB22&lt;&gt;"OK","",IF(AB8="No",0,IF(AB10="Simply-supported",AB24*AB26,AB28)))</f>
        <v/>
      </c>
      <c r="Y54" s="506"/>
      <c r="Z54" s="506"/>
      <c r="AA54" s="506" t="str">
        <f>IF(AE22&lt;&gt;"OK","",IF(AE8="No",0,IF(AE10="Simply-supported",AE24*AE26,AE28)))</f>
        <v/>
      </c>
      <c r="AB54" s="506"/>
      <c r="AC54" s="506"/>
      <c r="AD54" s="506">
        <v>0</v>
      </c>
      <c r="AE54" s="506"/>
      <c r="AF54" s="506"/>
      <c r="AG54" s="506"/>
    </row>
    <row r="55" spans="1:85" ht="19.5" customHeight="1">
      <c r="A55" s="116"/>
      <c r="B55" s="116"/>
      <c r="C55" s="113"/>
      <c r="D55" s="119"/>
      <c r="E55" s="112"/>
      <c r="F55" s="112"/>
      <c r="G55" s="292" t="str">
        <f>IF(OR('_CB Analysis'!$I$25&lt;&gt;"OK",COUNT($G$16)&lt;&gt;1,$G$16&lt;0),"",IF(0.5*G53&gt;K51,"v &lt; 0.5vc",IF(G53+G54&gt;K51,"0.5vc &lt; v &lt; vc+vr","vc+vr &lt; v &lt; 0.8fcu^.5 or 7")))</f>
        <v/>
      </c>
      <c r="H55" s="119"/>
      <c r="I55" s="116"/>
      <c r="J55" s="116"/>
      <c r="K55" s="116"/>
      <c r="L55" s="116"/>
      <c r="M55" s="116"/>
      <c r="N55" s="139"/>
      <c r="O55" s="113"/>
      <c r="R55" s="494"/>
      <c r="S55" s="494"/>
      <c r="T55" s="494"/>
      <c r="U55" s="494"/>
      <c r="V55" s="494"/>
      <c r="W55" s="494"/>
      <c r="X55" s="506"/>
      <c r="Y55" s="506"/>
      <c r="Z55" s="506"/>
      <c r="AA55" s="506"/>
      <c r="AB55" s="506"/>
      <c r="AC55" s="506"/>
      <c r="AD55" s="506"/>
      <c r="AE55" s="506"/>
      <c r="AF55" s="506"/>
      <c r="AG55" s="506"/>
    </row>
    <row r="56" spans="1:85" ht="19.5" customHeight="1">
      <c r="A56" s="116"/>
      <c r="B56" s="528" t="s">
        <v>620</v>
      </c>
      <c r="C56" s="525"/>
      <c r="D56" s="530" t="s">
        <v>931</v>
      </c>
      <c r="E56" s="274" t="s">
        <v>932</v>
      </c>
      <c r="F56" s="524" t="s">
        <v>573</v>
      </c>
      <c r="G56" s="540" t="str">
        <f>IF(OR('_CB Analysis'!$I$25&lt;&gt;"OK",COUNT($G$16)&lt;&gt;1,$G$16&lt;0),"",IF((G54+G53)&gt;K51,"vr b "," b (v-vc)"))</f>
        <v/>
      </c>
      <c r="H56" s="525"/>
      <c r="I56" s="116"/>
      <c r="J56" s="524" t="s">
        <v>573</v>
      </c>
      <c r="K56" s="541" t="str">
        <f>IF(OR('_CB Analysis'!$I$25&lt;&gt;"OK",COUNT($G$16)&lt;&gt;1,$G$16&lt;0),"",ROUND(IF(G53+G54&gt;K51,G54*G14/(0.87*G19),(K51-G53)*G14/(0.87*G19)),3))</f>
        <v/>
      </c>
      <c r="L56" s="271" t="s">
        <v>362</v>
      </c>
      <c r="M56" s="116"/>
      <c r="N56" s="139"/>
      <c r="O56" s="113"/>
      <c r="R56" s="494" t="s">
        <v>776</v>
      </c>
      <c r="S56" s="494"/>
      <c r="T56" s="494"/>
      <c r="U56" s="494"/>
      <c r="V56" s="494"/>
      <c r="W56" s="494"/>
      <c r="X56" s="506" t="str">
        <f>IF(AB22&lt;&gt;"OK","",IF(AB8="No",0,IF(AB10="Simply-supported",AB16*AB26,AB30)))</f>
        <v/>
      </c>
      <c r="Y56" s="506"/>
      <c r="Z56" s="506"/>
      <c r="AA56" s="506" t="str">
        <f>IF(AE22&lt;&gt;"OK","",IF(AE8="No",0,IF(AE10="Simply-supported",AE16*AE26,AE30)))</f>
        <v/>
      </c>
      <c r="AB56" s="506"/>
      <c r="AC56" s="506"/>
      <c r="AD56" s="506">
        <f>N(INDEX(Input!G124:G143,T37-123))</f>
        <v>0</v>
      </c>
      <c r="AE56" s="500"/>
      <c r="AF56" s="500"/>
      <c r="AG56" s="500"/>
    </row>
    <row r="57" spans="1:85" ht="19.5" customHeight="1">
      <c r="A57" s="116"/>
      <c r="B57" s="529"/>
      <c r="C57" s="525"/>
      <c r="D57" s="531"/>
      <c r="E57" s="283" t="s">
        <v>933</v>
      </c>
      <c r="F57" s="525"/>
      <c r="G57" s="536" t="s">
        <v>934</v>
      </c>
      <c r="H57" s="537"/>
      <c r="I57" s="116"/>
      <c r="J57" s="525"/>
      <c r="K57" s="542"/>
      <c r="L57" s="293" t="s">
        <v>579</v>
      </c>
      <c r="M57" s="116"/>
      <c r="N57" s="139"/>
      <c r="O57" s="113"/>
      <c r="R57" s="494"/>
      <c r="S57" s="494"/>
      <c r="T57" s="494"/>
      <c r="U57" s="494"/>
      <c r="V57" s="494"/>
      <c r="W57" s="494"/>
      <c r="X57" s="506"/>
      <c r="Y57" s="506"/>
      <c r="Z57" s="506"/>
      <c r="AA57" s="506"/>
      <c r="AB57" s="506"/>
      <c r="AC57" s="506"/>
      <c r="AD57" s="500"/>
      <c r="AE57" s="500"/>
      <c r="AF57" s="500"/>
      <c r="AG57" s="500"/>
    </row>
    <row r="58" spans="1:85" ht="19.5" customHeight="1">
      <c r="A58" s="116"/>
      <c r="B58" s="271" t="s">
        <v>621</v>
      </c>
      <c r="C58" s="116"/>
      <c r="D58" s="116"/>
      <c r="E58" s="306" t="str">
        <f>IF(OR('_CB Analysis'!$I$25&lt;&gt;"OK",COUNT($G$16)&lt;&gt;1,$G$16&lt;0),"",MAX(2,MAX(C40:C47,C110:C117)))</f>
        <v/>
      </c>
      <c r="F58" s="271" t="s">
        <v>622</v>
      </c>
      <c r="G58" s="307">
        <v>10</v>
      </c>
      <c r="H58" s="308">
        <v>200</v>
      </c>
      <c r="I58" s="274" t="s">
        <v>932</v>
      </c>
      <c r="J58" s="524" t="s">
        <v>573</v>
      </c>
      <c r="K58" s="543" t="str">
        <f>IF(OR('_CB Analysis'!$I$25&lt;&gt;"OK",COUNT($G$16)&lt;&gt;1,$G$16&lt;0),"",IF(H58=0,0,ROUND(G58^2*PI()/4/H58*E58,3)))</f>
        <v/>
      </c>
      <c r="L58" s="271" t="s">
        <v>362</v>
      </c>
      <c r="M58" s="116"/>
      <c r="N58" s="116"/>
      <c r="O58" s="113"/>
      <c r="R58" s="494" t="s">
        <v>212</v>
      </c>
      <c r="S58" s="494"/>
      <c r="T58" s="494"/>
      <c r="U58" s="494"/>
      <c r="V58" s="494"/>
      <c r="W58" s="494"/>
      <c r="X58" s="506" t="str">
        <f>IF(AB22&lt;&gt;"OK","",IF(AB8="No",0,IF(AB10="Simply-supported",AB18*AB26,AB32)))</f>
        <v/>
      </c>
      <c r="Y58" s="506"/>
      <c r="Z58" s="506"/>
      <c r="AA58" s="506" t="str">
        <f>IF(AE22&lt;&gt;"OK","",IF(AE8="No",0,IF(AE10="Simply-supported",AE18*AE26,AE32)))</f>
        <v/>
      </c>
      <c r="AB58" s="506"/>
      <c r="AC58" s="506"/>
      <c r="AD58" s="506">
        <f>N(INDEX(Input!H124:H143,T37-123))</f>
        <v>0</v>
      </c>
      <c r="AE58" s="500"/>
      <c r="AF58" s="500"/>
      <c r="AG58" s="500"/>
    </row>
    <row r="59" spans="1:85" ht="19.5" customHeight="1">
      <c r="A59" s="116"/>
      <c r="B59" s="116"/>
      <c r="C59" s="116"/>
      <c r="D59" s="116"/>
      <c r="E59" s="112"/>
      <c r="F59" s="112"/>
      <c r="G59" s="121"/>
      <c r="H59" s="121"/>
      <c r="I59" s="283" t="s">
        <v>933</v>
      </c>
      <c r="J59" s="525"/>
      <c r="K59" s="542"/>
      <c r="L59" s="293" t="s">
        <v>579</v>
      </c>
      <c r="M59" s="116"/>
      <c r="N59" s="286" t="str">
        <f>IF(OR('_CB Analysis'!$I$25&lt;&gt;"OK",COUNT($G$16)&lt;&gt;1,$G$16&lt;0),"",IF(K58&gt;K56,IF(H58&lt;0.75*G29,"OKAY","NOT OKAY"),"NOT OKAY"))</f>
        <v/>
      </c>
      <c r="O59" s="116"/>
      <c r="R59" s="494"/>
      <c r="S59" s="494"/>
      <c r="T59" s="494"/>
      <c r="U59" s="494"/>
      <c r="V59" s="494"/>
      <c r="W59" s="494"/>
      <c r="X59" s="506"/>
      <c r="Y59" s="506"/>
      <c r="Z59" s="506"/>
      <c r="AA59" s="506"/>
      <c r="AB59" s="506"/>
      <c r="AC59" s="506"/>
      <c r="AD59" s="500"/>
      <c r="AE59" s="500"/>
      <c r="AF59" s="500"/>
      <c r="AG59" s="500"/>
    </row>
    <row r="60" spans="1:85" ht="7.95" customHeight="1">
      <c r="A60" s="116"/>
      <c r="B60" s="116"/>
      <c r="C60" s="113"/>
      <c r="D60" s="119"/>
      <c r="E60" s="116"/>
      <c r="F60" s="116"/>
      <c r="G60" s="116"/>
      <c r="H60" s="116"/>
      <c r="I60" s="116"/>
      <c r="J60" s="116"/>
      <c r="K60" s="112"/>
      <c r="L60" s="119"/>
      <c r="M60" s="119"/>
      <c r="N60" s="116"/>
      <c r="O60" s="113"/>
      <c r="R60" s="494" t="s">
        <v>213</v>
      </c>
      <c r="S60" s="494"/>
      <c r="T60" s="494"/>
      <c r="U60" s="494"/>
      <c r="V60" s="494"/>
      <c r="W60" s="494"/>
      <c r="X60" s="506" t="str">
        <f>IF(AB22&lt;&gt;"OK","",IF(AB8="No",0,IF(AB10="Simply-supported",AB20*AB26,AB34)))</f>
        <v/>
      </c>
      <c r="Y60" s="506"/>
      <c r="Z60" s="506"/>
      <c r="AA60" s="506" t="str">
        <f>IF(AE22&lt;&gt;"OK","",IF(AE8="No",0,IF(AE10="Simply-supported",AE20*AE26,AE34)))</f>
        <v/>
      </c>
      <c r="AB60" s="506"/>
      <c r="AC60" s="506"/>
      <c r="AD60" s="506">
        <f>N(INDEX(Input!I124:I143,T37-123))</f>
        <v>0</v>
      </c>
      <c r="AE60" s="500"/>
      <c r="AF60" s="500"/>
      <c r="AG60" s="500"/>
    </row>
    <row r="61" spans="1:85" ht="25.05" customHeight="1">
      <c r="A61" s="116"/>
      <c r="B61" s="146" t="s">
        <v>952</v>
      </c>
      <c r="C61" s="146"/>
      <c r="D61" s="146"/>
      <c r="E61" s="141"/>
      <c r="F61" s="142"/>
      <c r="G61" s="143"/>
      <c r="H61" s="143"/>
      <c r="I61" s="141"/>
      <c r="J61" s="141"/>
      <c r="K61" s="141"/>
      <c r="L61" s="141"/>
      <c r="M61" s="141"/>
      <c r="N61" s="144" t="s">
        <v>623</v>
      </c>
      <c r="O61" s="141"/>
      <c r="R61" s="494"/>
      <c r="S61" s="494"/>
      <c r="T61" s="494"/>
      <c r="U61" s="494"/>
      <c r="V61" s="494"/>
      <c r="W61" s="494"/>
      <c r="X61" s="506"/>
      <c r="Y61" s="506"/>
      <c r="Z61" s="506"/>
      <c r="AA61" s="506"/>
      <c r="AB61" s="506"/>
      <c r="AC61" s="506"/>
      <c r="AD61" s="500"/>
      <c r="AE61" s="500"/>
      <c r="AF61" s="500"/>
      <c r="AG61" s="500"/>
    </row>
    <row r="62" spans="1:85" ht="7.95" customHeight="1">
      <c r="A62" s="116"/>
      <c r="B62" s="116"/>
      <c r="C62" s="116"/>
      <c r="D62" s="116"/>
      <c r="E62" s="116"/>
      <c r="F62" s="116"/>
      <c r="G62" s="116"/>
      <c r="H62" s="116"/>
      <c r="I62" s="116"/>
      <c r="J62" s="116"/>
      <c r="K62" s="116"/>
      <c r="L62" s="116"/>
      <c r="M62" s="116"/>
      <c r="N62" s="116"/>
      <c r="O62" s="116"/>
      <c r="R62" s="494" t="s">
        <v>777</v>
      </c>
      <c r="S62" s="494"/>
      <c r="T62" s="494"/>
      <c r="U62" s="494"/>
      <c r="V62" s="494"/>
      <c r="W62" s="494"/>
      <c r="X62" s="506"/>
      <c r="Y62" s="506"/>
      <c r="Z62" s="506"/>
      <c r="AA62" s="506"/>
      <c r="AB62" s="506"/>
      <c r="AC62" s="506"/>
      <c r="AD62" s="506">
        <f>24.5*G14*G15/1000000</f>
        <v>0</v>
      </c>
      <c r="AE62" s="506"/>
      <c r="AF62" s="506"/>
      <c r="AG62" s="506"/>
    </row>
    <row r="63" spans="1:85" ht="19.5" customHeight="1">
      <c r="A63" s="116"/>
      <c r="B63" s="271" t="s">
        <v>624</v>
      </c>
      <c r="C63" s="116"/>
      <c r="D63" s="116"/>
      <c r="E63" s="524" t="s">
        <v>935</v>
      </c>
      <c r="F63" s="524" t="s">
        <v>573</v>
      </c>
      <c r="G63" s="524" t="s">
        <v>625</v>
      </c>
      <c r="H63" s="525"/>
      <c r="I63" s="525"/>
      <c r="J63" s="524" t="s">
        <v>573</v>
      </c>
      <c r="K63" s="543" t="str">
        <f>IF(OR('_CB Analysis'!$I$25&lt;&gt;"OK",COUNT($G$16)&lt;&gt;1,$G$16&lt;0),"",ROUND(2*K25*10^6/(MIN(G14:G15)^2*(MAX(G14:G15)-MIN(G14:G15)/3)),3))</f>
        <v/>
      </c>
      <c r="L63" s="528" t="s">
        <v>626</v>
      </c>
      <c r="M63" s="111"/>
      <c r="N63" s="534" t="s">
        <v>627</v>
      </c>
      <c r="O63" s="116"/>
      <c r="R63" s="494"/>
      <c r="S63" s="494"/>
      <c r="T63" s="494"/>
      <c r="U63" s="494"/>
      <c r="V63" s="494"/>
      <c r="W63" s="494"/>
      <c r="X63" s="506"/>
      <c r="Y63" s="506"/>
      <c r="Z63" s="506"/>
      <c r="AA63" s="506"/>
      <c r="AB63" s="506"/>
      <c r="AC63" s="506"/>
      <c r="AD63" s="506"/>
      <c r="AE63" s="506"/>
      <c r="AF63" s="506"/>
      <c r="AG63" s="506"/>
    </row>
    <row r="64" spans="1:85" ht="19.5" customHeight="1">
      <c r="A64" s="116"/>
      <c r="B64" s="116"/>
      <c r="C64" s="116"/>
      <c r="D64" s="116"/>
      <c r="E64" s="525"/>
      <c r="F64" s="525"/>
      <c r="G64" s="536" t="s">
        <v>936</v>
      </c>
      <c r="H64" s="537"/>
      <c r="I64" s="537"/>
      <c r="J64" s="525"/>
      <c r="K64" s="531"/>
      <c r="L64" s="529"/>
      <c r="M64" s="111"/>
      <c r="N64" s="535"/>
      <c r="O64" s="116"/>
      <c r="R64" s="494" t="s">
        <v>778</v>
      </c>
      <c r="S64" s="494"/>
      <c r="T64" s="494"/>
      <c r="U64" s="494"/>
      <c r="V64" s="494"/>
      <c r="W64" s="494"/>
      <c r="X64" s="506"/>
      <c r="Y64" s="506"/>
      <c r="Z64" s="506"/>
      <c r="AA64" s="506"/>
      <c r="AB64" s="506"/>
      <c r="AC64" s="506"/>
      <c r="AD64" s="506">
        <v>0</v>
      </c>
      <c r="AE64" s="506"/>
      <c r="AF64" s="506"/>
      <c r="AG64" s="506"/>
    </row>
    <row r="65" spans="1:33" ht="19.5" customHeight="1">
      <c r="A65" s="116"/>
      <c r="B65" s="271" t="s">
        <v>628</v>
      </c>
      <c r="C65" s="116"/>
      <c r="D65" s="116"/>
      <c r="E65" s="274" t="s">
        <v>937</v>
      </c>
      <c r="F65" s="274" t="s">
        <v>573</v>
      </c>
      <c r="G65" s="271" t="str">
        <f>IF(OR('_CB Analysis'!$I$25&lt;&gt;"OK",COUNT($G$16)&lt;&gt;1,$G$16&lt;0),"",ROUND(MIN(0.6,0.067*G17^0.5),3))</f>
        <v/>
      </c>
      <c r="H65" s="289" t="s">
        <v>585</v>
      </c>
      <c r="I65" s="116"/>
      <c r="J65" s="112"/>
      <c r="K65" s="131"/>
      <c r="L65" s="116"/>
      <c r="M65" s="116"/>
      <c r="N65" s="534" t="s">
        <v>629</v>
      </c>
      <c r="O65" s="116"/>
      <c r="R65" s="494"/>
      <c r="S65" s="494"/>
      <c r="T65" s="494"/>
      <c r="U65" s="494"/>
      <c r="V65" s="494"/>
      <c r="W65" s="494"/>
      <c r="X65" s="506"/>
      <c r="Y65" s="506"/>
      <c r="Z65" s="506"/>
      <c r="AA65" s="506"/>
      <c r="AB65" s="506"/>
      <c r="AC65" s="506"/>
      <c r="AD65" s="506"/>
      <c r="AE65" s="506"/>
      <c r="AF65" s="506"/>
      <c r="AG65" s="506"/>
    </row>
    <row r="66" spans="1:33" ht="19.5" customHeight="1">
      <c r="A66" s="116"/>
      <c r="B66" s="271" t="s">
        <v>630</v>
      </c>
      <c r="C66" s="116"/>
      <c r="D66" s="116"/>
      <c r="E66" s="274" t="s">
        <v>938</v>
      </c>
      <c r="F66" s="274" t="s">
        <v>573</v>
      </c>
      <c r="G66" s="271" t="str">
        <f>IF(OR('_CB Analysis'!$I$25&lt;&gt;"OK",COUNT($G$16)&lt;&gt;1,$G$16&lt;0),"",ROUND(MIN(7,0.8*G17^0.5),3))</f>
        <v/>
      </c>
      <c r="H66" s="289" t="s">
        <v>585</v>
      </c>
      <c r="I66" s="116"/>
      <c r="J66" s="112"/>
      <c r="K66" s="131"/>
      <c r="L66" s="116"/>
      <c r="M66" s="116"/>
      <c r="N66" s="535"/>
      <c r="O66" s="116"/>
      <c r="R66" s="503" t="s">
        <v>779</v>
      </c>
      <c r="S66" s="503"/>
      <c r="T66" s="503"/>
      <c r="U66" s="503"/>
      <c r="V66" s="503"/>
      <c r="W66" s="503"/>
      <c r="X66" s="504"/>
      <c r="Y66" s="504"/>
      <c r="Z66" s="504"/>
      <c r="AA66" s="504"/>
      <c r="AB66" s="504"/>
      <c r="AC66" s="504"/>
      <c r="AD66" s="504">
        <f>SUM(AD56,AD58,AD62)</f>
        <v>0</v>
      </c>
      <c r="AE66" s="504"/>
      <c r="AF66" s="504"/>
      <c r="AG66" s="504"/>
    </row>
    <row r="67" spans="1:33" ht="19.5" customHeight="1">
      <c r="A67" s="116"/>
      <c r="B67" s="278" t="s">
        <v>631</v>
      </c>
      <c r="C67" s="111"/>
      <c r="D67" s="111"/>
      <c r="E67" s="284" t="s">
        <v>939</v>
      </c>
      <c r="F67" s="274" t="s">
        <v>573</v>
      </c>
      <c r="G67" s="295" t="str">
        <f>IF(OR('_CB Analysis'!$I$25&lt;&gt;"OK",COUNT($G$16)&lt;&gt;1,$G$16&lt;0),"",MIN(G14:G15)-2*G16-G58)</f>
        <v/>
      </c>
      <c r="H67" s="295" t="s">
        <v>579</v>
      </c>
      <c r="I67" s="116"/>
      <c r="J67" s="116"/>
      <c r="K67" s="116"/>
      <c r="L67" s="116"/>
      <c r="M67" s="116"/>
      <c r="N67" s="116"/>
      <c r="O67" s="116"/>
      <c r="R67" s="503"/>
      <c r="S67" s="503"/>
      <c r="T67" s="503"/>
      <c r="U67" s="503"/>
      <c r="V67" s="503"/>
      <c r="W67" s="503"/>
      <c r="X67" s="504"/>
      <c r="Y67" s="504"/>
      <c r="Z67" s="504"/>
      <c r="AA67" s="504"/>
      <c r="AB67" s="504"/>
      <c r="AC67" s="504"/>
      <c r="AD67" s="504"/>
      <c r="AE67" s="504"/>
      <c r="AF67" s="504"/>
      <c r="AG67" s="504"/>
    </row>
    <row r="68" spans="1:33" ht="19.5" customHeight="1">
      <c r="A68" s="116"/>
      <c r="B68" s="278" t="s">
        <v>632</v>
      </c>
      <c r="C68" s="111"/>
      <c r="D68" s="111"/>
      <c r="E68" s="284" t="s">
        <v>940</v>
      </c>
      <c r="F68" s="274" t="s">
        <v>573</v>
      </c>
      <c r="G68" s="295" t="str">
        <f>IF(OR('_CB Analysis'!$I$25&lt;&gt;"OK",COUNT($G$16)&lt;&gt;1,$G$16&lt;0),"",MAX(G14:G15)-2*G16-G58)</f>
        <v/>
      </c>
      <c r="H68" s="295" t="s">
        <v>579</v>
      </c>
      <c r="I68" s="116"/>
      <c r="J68" s="116"/>
      <c r="K68" s="116"/>
      <c r="L68" s="116"/>
      <c r="M68" s="116"/>
      <c r="N68" s="116"/>
      <c r="O68" s="116"/>
      <c r="R68" s="503" t="s">
        <v>780</v>
      </c>
      <c r="S68" s="503"/>
      <c r="T68" s="503"/>
      <c r="U68" s="503"/>
      <c r="V68" s="503"/>
      <c r="W68" s="503"/>
      <c r="X68" s="504"/>
      <c r="Y68" s="504"/>
      <c r="Z68" s="504"/>
      <c r="AA68" s="504"/>
      <c r="AB68" s="504"/>
      <c r="AC68" s="504"/>
      <c r="AD68" s="504">
        <f>AD60</f>
        <v>0</v>
      </c>
      <c r="AE68" s="504"/>
      <c r="AF68" s="504"/>
      <c r="AG68" s="504"/>
    </row>
    <row r="69" spans="1:33" ht="19.5" customHeight="1">
      <c r="A69" s="116"/>
      <c r="B69" s="277" t="s">
        <v>941</v>
      </c>
      <c r="C69" s="274" t="str">
        <f>IF(OR('_CB Analysis'!$I$25&lt;&gt;"OK",COUNT($G$16)&lt;&gt;1,$G$16&lt;0),"",IF(K51+K63&gt;G66,"&gt;","&lt;"))</f>
        <v/>
      </c>
      <c r="D69" s="278" t="s">
        <v>938</v>
      </c>
      <c r="E69" s="265" t="s">
        <v>940</v>
      </c>
      <c r="F69" s="274" t="str">
        <f>IF(OR('_CB Analysis'!$I$25&lt;&gt;"OK",COUNT($G$16)&lt;&gt;1,$G$16&lt;0),"",IF(G68&gt;G69,"&gt;","&lt;"))</f>
        <v/>
      </c>
      <c r="G69" s="296">
        <v>550</v>
      </c>
      <c r="H69" s="122"/>
      <c r="I69" s="277" t="str">
        <f>IF(OR('_CB Analysis'!$I$25&lt;&gt;"OK",COUNT($G$16)&lt;&gt;1,$G$16&lt;0),"",IF(G68&lt;550,"vt",""))</f>
        <v/>
      </c>
      <c r="J69" s="274" t="str">
        <f>IF(OR('_CB Analysis'!$I$25&lt;&gt;"OK",COUNT($G$16)&lt;&gt;1,$G$16&lt;0),"",IF(G68&gt;550,"",IF(K63&gt;(G66*G68/550),"&gt;","&lt;")))</f>
        <v/>
      </c>
      <c r="K69" s="271" t="str">
        <f>IF(OR('_CB Analysis'!$I$25&lt;&gt;"OK",COUNT($G$16)&lt;&gt;1,$G$16&lt;0),"",IF(G68&lt;550,"vtu y1/550",""))</f>
        <v/>
      </c>
      <c r="L69" s="116"/>
      <c r="M69" s="116"/>
      <c r="N69" s="286" t="str">
        <f>IF(OR('_CB Analysis'!$I$25&lt;&gt;"OK",COUNT($G$16)&lt;&gt;1,$G$16&lt;0),"",IF(C69="&lt;",IF(J69="&gt;","NOT OKAY","OKAY"),"NOT OKAY"))</f>
        <v/>
      </c>
      <c r="O69" s="116"/>
      <c r="R69" s="503"/>
      <c r="S69" s="503"/>
      <c r="T69" s="503"/>
      <c r="U69" s="503"/>
      <c r="V69" s="503"/>
      <c r="W69" s="503"/>
      <c r="X69" s="504"/>
      <c r="Y69" s="504"/>
      <c r="Z69" s="504"/>
      <c r="AA69" s="504"/>
      <c r="AB69" s="504"/>
      <c r="AC69" s="504"/>
      <c r="AD69" s="504"/>
      <c r="AE69" s="504"/>
      <c r="AF69" s="504"/>
      <c r="AG69" s="504"/>
    </row>
    <row r="70" spans="1:33" ht="19.5" customHeight="1">
      <c r="A70" s="116"/>
      <c r="B70" s="277" t="s">
        <v>613</v>
      </c>
      <c r="C70" s="274" t="str">
        <f>IF(OR('_CB Analysis'!$I$25&lt;&gt;"OK",COUNT($G$16)&lt;&gt;1,$G$16&lt;0),"",IF(K51&gt;(G53+G54),"&gt;","&lt;"))</f>
        <v/>
      </c>
      <c r="D70" s="278" t="s">
        <v>942</v>
      </c>
      <c r="E70" s="265" t="s">
        <v>935</v>
      </c>
      <c r="F70" s="274" t="str">
        <f>IF(OR('_CB Analysis'!$I$25&lt;&gt;"OK",COUNT($G$16)&lt;&gt;1,$G$16&lt;0),"",IF(K63&gt;G65,"&gt;","&lt;"))</f>
        <v/>
      </c>
      <c r="G70" s="295" t="s">
        <v>937</v>
      </c>
      <c r="H70" s="122"/>
      <c r="I70" s="116"/>
      <c r="J70" s="116"/>
      <c r="K70" s="116"/>
      <c r="L70" s="116"/>
      <c r="M70" s="116"/>
      <c r="N70" s="280" t="s">
        <v>633</v>
      </c>
      <c r="O70" s="116"/>
      <c r="R70" s="503" t="s">
        <v>781</v>
      </c>
      <c r="S70" s="503"/>
      <c r="T70" s="503"/>
      <c r="U70" s="503"/>
      <c r="V70" s="503"/>
      <c r="W70" s="503"/>
      <c r="X70" s="504"/>
      <c r="Y70" s="504"/>
      <c r="Z70" s="504"/>
      <c r="AA70" s="504"/>
      <c r="AB70" s="504"/>
      <c r="AC70" s="504"/>
      <c r="AD70" s="504">
        <f>1.4*AD66+1.6*AD68</f>
        <v>0</v>
      </c>
      <c r="AE70" s="504"/>
      <c r="AF70" s="504"/>
      <c r="AG70" s="504"/>
    </row>
    <row r="71" spans="1:33" ht="19.5" customHeight="1">
      <c r="A71" s="116"/>
      <c r="B71" s="111"/>
      <c r="C71" s="277" t="s">
        <v>921</v>
      </c>
      <c r="D71" s="281" t="str">
        <f>IF(OR('_CB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03"/>
      <c r="S71" s="503"/>
      <c r="T71" s="503"/>
      <c r="U71" s="503"/>
      <c r="V71" s="503"/>
      <c r="W71" s="503"/>
      <c r="X71" s="504"/>
      <c r="Y71" s="504"/>
      <c r="Z71" s="504"/>
      <c r="AA71" s="504"/>
      <c r="AB71" s="504"/>
      <c r="AC71" s="504"/>
      <c r="AD71" s="504"/>
      <c r="AE71" s="504"/>
      <c r="AF71" s="504"/>
      <c r="AG71" s="504"/>
    </row>
    <row r="72" spans="1:33" ht="19.5" customHeight="1">
      <c r="A72" s="116"/>
      <c r="B72" s="528" t="s">
        <v>634</v>
      </c>
      <c r="C72" s="113"/>
      <c r="D72" s="123"/>
      <c r="E72" s="274" t="s">
        <v>932</v>
      </c>
      <c r="F72" s="524" t="s">
        <v>573</v>
      </c>
      <c r="G72" s="524" t="s">
        <v>593</v>
      </c>
      <c r="H72" s="525"/>
      <c r="I72" s="116"/>
      <c r="J72" s="524" t="s">
        <v>573</v>
      </c>
      <c r="K72" s="543" t="str">
        <f>IF(OR('_CB Analysis'!$I$25&lt;&gt;"OK",COUNT($G$16)&lt;&gt;1,$G$16&lt;0),"",ROUND(IF(G65&gt;K63,0,K25*10^6/(0.8*G67*G68*(0.87*G19))),3))</f>
        <v/>
      </c>
      <c r="L72" s="271" t="s">
        <v>362</v>
      </c>
      <c r="M72" s="116"/>
      <c r="N72" s="116"/>
      <c r="O72" s="116"/>
      <c r="R72" s="98"/>
    </row>
    <row r="73" spans="1:33" ht="19.5" customHeight="1">
      <c r="A73" s="116"/>
      <c r="B73" s="529"/>
      <c r="C73" s="113"/>
      <c r="D73" s="123"/>
      <c r="E73" s="283" t="s">
        <v>933</v>
      </c>
      <c r="F73" s="525"/>
      <c r="G73" s="536" t="s">
        <v>943</v>
      </c>
      <c r="H73" s="537"/>
      <c r="I73" s="116"/>
      <c r="J73" s="525"/>
      <c r="K73" s="542"/>
      <c r="L73" s="293" t="s">
        <v>579</v>
      </c>
      <c r="M73" s="116"/>
      <c r="N73" s="116"/>
      <c r="O73" s="116"/>
      <c r="R73" s="494" t="str">
        <f>'_CB Analysis'!I25</f>
        <v>ENTER SPAN, WIDTH AND DEPTH</v>
      </c>
      <c r="S73" s="505"/>
      <c r="T73" s="505"/>
      <c r="U73" s="505"/>
      <c r="V73" s="505"/>
      <c r="W73" s="505"/>
      <c r="X73" s="505"/>
      <c r="Y73" s="505"/>
      <c r="Z73" s="505"/>
      <c r="AA73" s="505"/>
      <c r="AB73" s="505"/>
      <c r="AC73" s="505"/>
      <c r="AD73" s="505"/>
      <c r="AE73" s="505"/>
      <c r="AF73" s="505"/>
      <c r="AG73" s="505"/>
    </row>
    <row r="74" spans="1:33" ht="19.5" customHeight="1">
      <c r="A74" s="116"/>
      <c r="B74" s="528" t="s">
        <v>635</v>
      </c>
      <c r="C74" s="113"/>
      <c r="D74" s="123"/>
      <c r="E74" s="524" t="s">
        <v>605</v>
      </c>
      <c r="F74" s="524" t="s">
        <v>573</v>
      </c>
      <c r="G74" s="524" t="s">
        <v>944</v>
      </c>
      <c r="H74" s="525"/>
      <c r="I74" s="116"/>
      <c r="J74" s="524" t="s">
        <v>573</v>
      </c>
      <c r="K74" s="530" t="str">
        <f>IF(OR('_CB Analysis'!$I$25&lt;&gt;"OK",COUNT($G$16)&lt;&gt;1,$G$16&lt;0),"",ROUND(K72*G19*(G67+G68)/G18,0))</f>
        <v/>
      </c>
      <c r="L74" s="532" t="s">
        <v>916</v>
      </c>
      <c r="M74" s="114"/>
      <c r="N74" s="116"/>
      <c r="O74" s="116"/>
      <c r="R74" s="505"/>
      <c r="S74" s="505"/>
      <c r="T74" s="505"/>
      <c r="U74" s="505"/>
      <c r="V74" s="505"/>
      <c r="W74" s="505"/>
      <c r="X74" s="505"/>
      <c r="Y74" s="505"/>
      <c r="Z74" s="505"/>
      <c r="AA74" s="505"/>
      <c r="AB74" s="505"/>
      <c r="AC74" s="505"/>
      <c r="AD74" s="505"/>
      <c r="AE74" s="505"/>
      <c r="AF74" s="505"/>
      <c r="AG74" s="505"/>
    </row>
    <row r="75" spans="1:33" ht="19.5" customHeight="1">
      <c r="A75" s="116"/>
      <c r="B75" s="529"/>
      <c r="C75" s="113"/>
      <c r="D75" s="123"/>
      <c r="E75" s="525"/>
      <c r="F75" s="525"/>
      <c r="G75" s="536" t="s">
        <v>945</v>
      </c>
      <c r="H75" s="537"/>
      <c r="I75" s="116"/>
      <c r="J75" s="525"/>
      <c r="K75" s="531"/>
      <c r="L75" s="533"/>
      <c r="M75" s="114"/>
      <c r="N75" s="116"/>
      <c r="O75" s="116"/>
      <c r="R75" s="505"/>
      <c r="S75" s="505"/>
      <c r="T75" s="505"/>
      <c r="U75" s="505"/>
      <c r="V75" s="505"/>
      <c r="W75" s="505"/>
      <c r="X75" s="505"/>
      <c r="Y75" s="505"/>
      <c r="Z75" s="505"/>
      <c r="AA75" s="505"/>
      <c r="AB75" s="505"/>
      <c r="AC75" s="505"/>
      <c r="AD75" s="505"/>
      <c r="AE75" s="505"/>
      <c r="AF75" s="505"/>
      <c r="AG75" s="505"/>
    </row>
    <row r="76" spans="1:33" ht="19.5" customHeight="1">
      <c r="A76" s="116"/>
      <c r="B76" s="271" t="s">
        <v>636</v>
      </c>
      <c r="C76" s="116"/>
      <c r="D76" s="116"/>
      <c r="E76" s="306">
        <v>2</v>
      </c>
      <c r="F76" s="271" t="s">
        <v>622</v>
      </c>
      <c r="G76" s="307"/>
      <c r="H76" s="308"/>
      <c r="I76" s="274" t="s">
        <v>932</v>
      </c>
      <c r="J76" s="524" t="s">
        <v>573</v>
      </c>
      <c r="K76" s="543" t="str">
        <f>IF(OR('_CB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25"/>
      <c r="K77" s="542"/>
      <c r="L77" s="293" t="s">
        <v>579</v>
      </c>
      <c r="M77" s="116"/>
      <c r="N77" s="286" t="str">
        <f>IF(OR('_CB Analysis'!$I$25&lt;&gt;"OK",COUNT($G$16)&lt;&gt;1,$G$16&lt;0),"",IF(K72&lt;&gt;0,IF(K76&gt;K72,IF(H76&lt;MIN(G67,G68/2,200),"OKAY","NOT OKAY"),"NOT OKAY"),"OKAY"))</f>
        <v/>
      </c>
      <c r="O77" s="116"/>
      <c r="R77" s="494" t="s">
        <v>782</v>
      </c>
      <c r="S77" s="494"/>
      <c r="T77" s="494"/>
      <c r="U77" s="494"/>
      <c r="V77" s="494"/>
      <c r="W77" s="494"/>
      <c r="X77" s="495" t="s">
        <v>824</v>
      </c>
      <c r="Y77" s="495"/>
      <c r="Z77" s="495"/>
      <c r="AA77" s="495" t="s">
        <v>825</v>
      </c>
      <c r="AB77" s="495"/>
      <c r="AC77" s="495"/>
    </row>
    <row r="78" spans="1:33" ht="19.5" customHeight="1">
      <c r="A78" s="116"/>
      <c r="B78" s="278" t="s">
        <v>637</v>
      </c>
      <c r="C78" s="113"/>
      <c r="D78" s="119"/>
      <c r="E78" s="112"/>
      <c r="F78" s="274" t="s">
        <v>573</v>
      </c>
      <c r="G78" s="271" t="s">
        <v>946</v>
      </c>
      <c r="H78" s="116"/>
      <c r="I78" s="120"/>
      <c r="J78" s="274" t="s">
        <v>573</v>
      </c>
      <c r="K78" s="271" t="str">
        <f>IF(OR('_CB Analysis'!$I$25&lt;&gt;"OK",COUNT($G$16)&lt;&gt;1,$G$16&lt;0),"",G44+G40)</f>
        <v/>
      </c>
      <c r="L78" s="271" t="s">
        <v>362</v>
      </c>
      <c r="M78" s="116"/>
      <c r="N78" s="286" t="str">
        <f>IF(OR('_CB Analysis'!$I$25&lt;&gt;"OK",COUNT($G$16)&lt;&gt;1,$G$16&lt;0),"",IF(K74&gt;K78,"NOT OKAY","OKAY"))</f>
        <v/>
      </c>
      <c r="O78" s="116"/>
      <c r="R78" s="494"/>
      <c r="S78" s="494"/>
      <c r="T78" s="494"/>
      <c r="U78" s="494"/>
      <c r="V78" s="494"/>
      <c r="W78" s="494"/>
      <c r="X78" s="496"/>
      <c r="Y78" s="496"/>
      <c r="Z78" s="496"/>
      <c r="AA78" s="496"/>
      <c r="AB78" s="496"/>
      <c r="AC78" s="496"/>
    </row>
    <row r="79" spans="1:33" ht="7.95" customHeight="1">
      <c r="A79" s="116"/>
      <c r="B79" s="116"/>
      <c r="C79" s="113"/>
      <c r="D79" s="119"/>
      <c r="E79" s="116"/>
      <c r="F79" s="116"/>
      <c r="G79" s="116"/>
      <c r="H79" s="116"/>
      <c r="I79" s="116"/>
      <c r="J79" s="116"/>
      <c r="K79" s="112"/>
      <c r="L79" s="119"/>
      <c r="M79" s="119"/>
      <c r="N79" s="116"/>
      <c r="O79" s="113"/>
      <c r="R79" s="494" t="s">
        <v>830</v>
      </c>
      <c r="S79" s="494"/>
      <c r="T79" s="494"/>
      <c r="U79" s="494"/>
      <c r="V79" s="494"/>
      <c r="W79" s="494"/>
      <c r="X79" s="498" t="str">
        <f>IFERROR(IF(INDEX('_Input Engine'!$U$31:$U$50,MATCH(C9,'_Input Engine'!$A$31:$A$50,0))="","",INDEX('_Input Engine'!$U$31:$U$50,MATCH(C9,'_Input Engine'!$A$31:$A$50,0))),"")</f>
        <v/>
      </c>
      <c r="Y79" s="499"/>
      <c r="Z79" s="499"/>
      <c r="AA79" s="498" t="str">
        <f>IFERROR(IF(INDEX('_Input Engine'!$V$31:$V$50,MATCH(C9,'_Input Engine'!$A$31:$A$50,0))="","",INDEX('_Input Engine'!$V$31:$V$50,MATCH(C9,'_Input Engine'!$A$31:$A$50,0))),"")</f>
        <v/>
      </c>
      <c r="AB79" s="499"/>
      <c r="AC79" s="499"/>
    </row>
    <row r="80" spans="1:33" ht="25.05" customHeight="1">
      <c r="A80" s="116"/>
      <c r="B80" s="146" t="s">
        <v>953</v>
      </c>
      <c r="C80" s="146"/>
      <c r="D80" s="141"/>
      <c r="E80" s="141"/>
      <c r="F80" s="141"/>
      <c r="G80" s="141"/>
      <c r="H80" s="141"/>
      <c r="I80" s="141"/>
      <c r="J80" s="141"/>
      <c r="K80" s="141"/>
      <c r="L80" s="141"/>
      <c r="M80" s="141"/>
      <c r="N80" s="141"/>
      <c r="O80" s="141"/>
      <c r="R80" s="494"/>
      <c r="S80" s="494"/>
      <c r="T80" s="494"/>
      <c r="U80" s="494"/>
      <c r="V80" s="494"/>
      <c r="W80" s="494"/>
      <c r="X80" s="500"/>
      <c r="Y80" s="500"/>
      <c r="Z80" s="500"/>
      <c r="AA80" s="500"/>
      <c r="AB80" s="500"/>
      <c r="AC80" s="500"/>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IF(OR('_CB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8" t="s">
        <v>639</v>
      </c>
      <c r="C83" s="539"/>
      <c r="D83" s="539"/>
      <c r="E83" s="539"/>
      <c r="F83" s="274" t="s">
        <v>573</v>
      </c>
      <c r="G83" s="299" t="str">
        <f>IF(OR('_CB Analysis'!$I$25&lt;&gt;"OK",COUNT($G$16)&lt;&gt;1,$G$16&lt;0),"",ROUND(MIN(2,0.55+(477-G82)/(120*(0.9+G23*10^6/(G14*G29^2)))),2))</f>
        <v/>
      </c>
      <c r="H83" s="115"/>
      <c r="I83" s="116"/>
      <c r="J83" s="116"/>
      <c r="K83" s="116"/>
      <c r="L83" s="116"/>
      <c r="M83" s="116"/>
      <c r="N83" s="280" t="s">
        <v>638</v>
      </c>
      <c r="O83" s="116"/>
      <c r="R83" s="98"/>
    </row>
    <row r="84" spans="1:33" ht="19.5" customHeight="1">
      <c r="A84" s="116"/>
      <c r="B84" s="550" t="s">
        <v>640</v>
      </c>
      <c r="C84" s="551"/>
      <c r="D84" s="551"/>
      <c r="E84" s="551"/>
      <c r="F84" s="274" t="s">
        <v>573</v>
      </c>
      <c r="G84" s="271" t="str">
        <f>IF(OR('_CB Analysis'!$I$25&lt;&gt;"OK",COUNT($G$16)&lt;&gt;1,$G$16&lt;0),"",ROUND(MIN(1.5,1+(100*G40/(G14*G29))/(3+100*G40/(G14*G29))),2))</f>
        <v/>
      </c>
      <c r="H84" s="116"/>
      <c r="I84" s="116"/>
      <c r="J84" s="116"/>
      <c r="K84" s="116"/>
      <c r="L84" s="116"/>
      <c r="M84" s="116"/>
      <c r="N84" s="280" t="s">
        <v>641</v>
      </c>
      <c r="O84" s="116"/>
      <c r="R84" s="494" t="s">
        <v>832</v>
      </c>
      <c r="S84" s="494"/>
      <c r="T84" s="494"/>
      <c r="U84" s="494"/>
      <c r="V84" s="494"/>
      <c r="W84" s="494"/>
      <c r="X84" s="494"/>
      <c r="Y84" s="494"/>
      <c r="Z84" s="494"/>
      <c r="AA84" s="494"/>
      <c r="AB84" s="494"/>
      <c r="AC84" s="494"/>
      <c r="AD84" s="494"/>
      <c r="AE84" s="494"/>
      <c r="AF84" s="494"/>
      <c r="AG84" s="494"/>
    </row>
    <row r="85" spans="1:33" ht="19.5" customHeight="1">
      <c r="A85" s="116"/>
      <c r="B85" s="278" t="s">
        <v>642</v>
      </c>
      <c r="C85" s="120"/>
      <c r="D85" s="120"/>
      <c r="E85" s="116"/>
      <c r="F85" s="274" t="s">
        <v>573</v>
      </c>
      <c r="G85" s="271">
        <v>7</v>
      </c>
      <c r="H85" s="116"/>
      <c r="I85" s="116"/>
      <c r="J85" s="116"/>
      <c r="K85" s="116"/>
      <c r="L85" s="116"/>
      <c r="M85" s="116"/>
      <c r="N85" s="545" t="s">
        <v>1132</v>
      </c>
      <c r="O85" s="546"/>
      <c r="R85" s="494"/>
      <c r="S85" s="494"/>
      <c r="T85" s="494"/>
      <c r="U85" s="494"/>
      <c r="V85" s="494"/>
      <c r="W85" s="494"/>
      <c r="X85" s="494"/>
      <c r="Y85" s="494"/>
      <c r="Z85" s="494"/>
      <c r="AA85" s="494"/>
      <c r="AB85" s="494"/>
      <c r="AC85" s="494"/>
      <c r="AD85" s="494"/>
      <c r="AE85" s="494"/>
      <c r="AF85" s="494"/>
      <c r="AG85" s="494"/>
    </row>
    <row r="86" spans="1:33" ht="19.5" customHeight="1">
      <c r="A86" s="116"/>
      <c r="B86" s="278" t="s">
        <v>643</v>
      </c>
      <c r="C86" s="120"/>
      <c r="D86" s="120"/>
      <c r="E86" s="116"/>
      <c r="F86" s="274" t="s">
        <v>573</v>
      </c>
      <c r="G86" s="300" t="str">
        <f>IF(OR('_CB Analysis'!I25&lt;&gt;"OK",G29&lt;=0),"",G85*G84*G83)</f>
        <v/>
      </c>
      <c r="H86" s="116"/>
      <c r="I86" s="126"/>
      <c r="J86" s="120"/>
      <c r="K86" s="116"/>
      <c r="L86" s="116"/>
      <c r="M86" s="116"/>
      <c r="N86" s="116"/>
      <c r="O86" s="116"/>
      <c r="R86" s="494"/>
      <c r="S86" s="494"/>
      <c r="T86" s="494"/>
      <c r="U86" s="494"/>
      <c r="V86" s="494"/>
      <c r="W86" s="494"/>
      <c r="X86" s="494"/>
      <c r="Y86" s="494"/>
      <c r="Z86" s="494"/>
      <c r="AA86" s="494"/>
      <c r="AB86" s="494"/>
      <c r="AC86" s="494"/>
      <c r="AD86" s="494"/>
      <c r="AE86" s="494"/>
      <c r="AF86" s="494"/>
      <c r="AG86" s="494"/>
    </row>
    <row r="87" spans="1:33" ht="19.5" customHeight="1">
      <c r="A87" s="116"/>
      <c r="B87" s="271" t="s">
        <v>644</v>
      </c>
      <c r="C87" s="116"/>
      <c r="D87" s="116"/>
      <c r="E87" s="271" t="s">
        <v>645</v>
      </c>
      <c r="F87" s="274" t="s">
        <v>573</v>
      </c>
      <c r="G87" s="271" t="str">
        <f>IF(OR('_CB Analysis'!I25&lt;&gt;"OK",G29&lt;=0),"",ROUND(G12*1000/G29,2))</f>
        <v/>
      </c>
      <c r="H87" s="116"/>
      <c r="I87" s="116"/>
      <c r="J87" s="274" t="str">
        <f>IF(OR('_CB Analysis'!$I$25&lt;&gt;"OK",COUNT($G$16)&lt;&gt;1,$G$16&lt;0),"",IF(G87&gt;G86,"&gt;","&lt;"))</f>
        <v/>
      </c>
      <c r="K87" s="547" t="str">
        <f>IF(OR('_CB Analysis'!$I$25&lt;&gt;"OK",COUNT($G$16)&lt;&gt;1,$G$16&lt;0),"",G86)</f>
        <v/>
      </c>
      <c r="L87" s="548"/>
      <c r="M87" s="127"/>
      <c r="N87" s="286" t="str">
        <f>IF(OR('_CB Analysis'!$I$25&lt;&gt;"OK",COUNT($G$16)&lt;&gt;1,$G$16&lt;0),"",IF(G86&lt;G87,"NOT OKAY","OKAY"))</f>
        <v/>
      </c>
      <c r="O87" s="132"/>
      <c r="R87" s="494"/>
      <c r="S87" s="494"/>
      <c r="T87" s="494"/>
      <c r="U87" s="494"/>
      <c r="V87" s="494"/>
      <c r="W87" s="494"/>
      <c r="X87" s="494"/>
      <c r="Y87" s="494"/>
      <c r="Z87" s="494"/>
      <c r="AA87" s="494"/>
      <c r="AB87" s="494"/>
      <c r="AC87" s="494"/>
      <c r="AD87" s="494"/>
      <c r="AE87" s="494"/>
      <c r="AF87" s="494"/>
      <c r="AG87" s="494"/>
    </row>
    <row r="88" spans="1:33" ht="7.95" customHeight="1">
      <c r="A88" s="116"/>
      <c r="B88" s="116"/>
      <c r="C88" s="116"/>
      <c r="D88" s="116"/>
      <c r="E88" s="116"/>
      <c r="F88" s="116"/>
      <c r="G88" s="116"/>
      <c r="H88" s="116"/>
      <c r="I88" s="116"/>
      <c r="J88" s="116"/>
      <c r="K88" s="116"/>
      <c r="L88" s="116"/>
      <c r="M88" s="116"/>
      <c r="N88" s="538" t="str">
        <f>IF(OR('_CB Analysis'!$I$25&lt;&gt;"OK",COUNT($G$16)&lt;&gt;1,$G$16&lt;0),"",IF(K87&gt;G87,"","Reduce L/d ratio"))</f>
        <v/>
      </c>
      <c r="O88" s="539"/>
      <c r="R88" s="98"/>
    </row>
    <row r="89" spans="1:33" ht="6" customHeight="1">
      <c r="A89" s="116"/>
      <c r="B89" s="128"/>
      <c r="C89" s="128"/>
      <c r="D89" s="128"/>
      <c r="E89" s="116"/>
      <c r="F89" s="116"/>
      <c r="G89" s="116"/>
      <c r="H89" s="116"/>
      <c r="I89" s="116"/>
      <c r="J89" s="116"/>
      <c r="K89" s="116"/>
      <c r="L89" s="116"/>
      <c r="M89" s="116"/>
      <c r="N89" s="116"/>
      <c r="O89" s="116"/>
      <c r="R89" s="495" t="s">
        <v>889</v>
      </c>
      <c r="S89" s="495"/>
      <c r="T89" s="495"/>
      <c r="U89" s="495"/>
      <c r="V89" s="495"/>
      <c r="W89" s="495"/>
      <c r="X89" s="495"/>
      <c r="Y89" s="495"/>
      <c r="Z89" s="495"/>
      <c r="AA89" s="495"/>
      <c r="AB89" s="495"/>
      <c r="AC89" s="495"/>
      <c r="AD89" s="495"/>
      <c r="AE89" s="495"/>
      <c r="AF89" s="495"/>
      <c r="AG89" s="495"/>
    </row>
    <row r="90" spans="1:33" ht="6" customHeight="1">
      <c r="A90" s="116"/>
      <c r="B90" s="116"/>
      <c r="C90" s="116"/>
      <c r="D90" s="116"/>
      <c r="E90" s="116"/>
      <c r="F90" s="116"/>
      <c r="G90" s="116"/>
      <c r="H90" s="116"/>
      <c r="I90" s="116"/>
      <c r="J90" s="116"/>
      <c r="K90" s="116"/>
      <c r="L90" s="116"/>
      <c r="M90" s="116"/>
      <c r="N90" s="116"/>
      <c r="O90" s="116"/>
      <c r="R90" s="496"/>
      <c r="S90" s="496"/>
      <c r="T90" s="496"/>
      <c r="U90" s="496"/>
      <c r="V90" s="496"/>
      <c r="W90" s="496"/>
      <c r="X90" s="496"/>
      <c r="Y90" s="496"/>
      <c r="Z90" s="496"/>
      <c r="AA90" s="496"/>
      <c r="AB90" s="496"/>
      <c r="AC90" s="496"/>
      <c r="AD90" s="496"/>
      <c r="AE90" s="496"/>
      <c r="AF90" s="496"/>
      <c r="AG90" s="496"/>
    </row>
    <row r="91" spans="1:33" ht="6" customHeight="1">
      <c r="A91" s="116"/>
      <c r="B91" s="120"/>
      <c r="C91" s="120"/>
      <c r="D91" s="120"/>
      <c r="E91" s="116"/>
      <c r="F91" s="116"/>
      <c r="G91" s="116"/>
      <c r="H91" s="116"/>
      <c r="I91" s="129"/>
      <c r="J91" s="116"/>
      <c r="K91" s="116"/>
      <c r="L91" s="116"/>
      <c r="M91" s="116"/>
      <c r="N91" s="116"/>
      <c r="O91" s="116"/>
      <c r="R91" s="501"/>
      <c r="S91" s="501"/>
      <c r="T91" s="501"/>
      <c r="U91" s="501"/>
      <c r="V91" s="501"/>
      <c r="W91" s="501"/>
      <c r="X91" s="501"/>
      <c r="Y91" s="501"/>
      <c r="Z91" s="501"/>
      <c r="AA91" s="501"/>
      <c r="AB91" s="501"/>
      <c r="AC91" s="501"/>
      <c r="AD91" s="501"/>
      <c r="AE91" s="501"/>
      <c r="AF91" s="501"/>
      <c r="AG91" s="501"/>
    </row>
    <row r="92" spans="1:33" ht="6" customHeight="1">
      <c r="A92" s="116"/>
      <c r="B92" s="116"/>
      <c r="C92" s="116"/>
      <c r="D92" s="116"/>
      <c r="E92" s="116"/>
      <c r="F92" s="116"/>
      <c r="G92" s="116"/>
      <c r="H92" s="116"/>
      <c r="I92" s="116"/>
      <c r="J92" s="116"/>
      <c r="K92" s="116"/>
      <c r="L92" s="116"/>
      <c r="M92" s="116"/>
      <c r="N92" s="116"/>
      <c r="O92" s="116"/>
      <c r="R92" s="502"/>
      <c r="S92" s="502"/>
      <c r="T92" s="502"/>
      <c r="U92" s="502"/>
      <c r="V92" s="502"/>
      <c r="W92" s="502"/>
      <c r="X92" s="502"/>
      <c r="Y92" s="502"/>
      <c r="Z92" s="502"/>
      <c r="AA92" s="502"/>
      <c r="AB92" s="502"/>
      <c r="AC92" s="502"/>
      <c r="AD92" s="502"/>
      <c r="AE92" s="502"/>
      <c r="AF92" s="502"/>
      <c r="AG92" s="50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9" t="s">
        <v>651</v>
      </c>
      <c r="B104" s="521"/>
      <c r="C104" s="521"/>
      <c r="D104" s="521"/>
      <c r="E104" s="521"/>
      <c r="F104" s="521"/>
      <c r="G104" s="521"/>
      <c r="H104" s="521"/>
      <c r="I104" s="521"/>
      <c r="J104" s="521"/>
      <c r="K104" s="521"/>
      <c r="L104" s="521"/>
      <c r="M104" s="521"/>
      <c r="N104" s="521"/>
      <c r="O104" s="521"/>
      <c r="R104" s="98"/>
    </row>
    <row r="105" spans="1:18" ht="19.5" customHeight="1" outlineLevel="1">
      <c r="A105" s="116"/>
      <c r="B105" s="553" t="s">
        <v>1139</v>
      </c>
      <c r="C105" s="539"/>
      <c r="D105" s="539"/>
      <c r="E105" s="539"/>
      <c r="F105" s="539"/>
      <c r="G105" s="539"/>
      <c r="H105" s="539"/>
      <c r="I105" s="539"/>
      <c r="J105" s="539"/>
      <c r="K105" s="539"/>
      <c r="L105" s="539"/>
      <c r="M105" s="539"/>
      <c r="N105" s="539"/>
      <c r="O105" s="539"/>
      <c r="R105" s="98"/>
    </row>
    <row r="106" spans="1:18" ht="19.5" customHeight="1" outlineLevel="1">
      <c r="A106" s="287" t="s">
        <v>1088</v>
      </c>
      <c r="B106" s="539"/>
      <c r="C106" s="539"/>
      <c r="D106" s="539"/>
      <c r="E106" s="539"/>
      <c r="F106" s="539"/>
      <c r="G106" s="539"/>
      <c r="H106" s="539"/>
      <c r="I106" s="539"/>
      <c r="J106" s="539"/>
      <c r="K106" s="539"/>
      <c r="L106" s="539"/>
      <c r="M106" s="539"/>
      <c r="N106" s="539"/>
      <c r="O106" s="539"/>
      <c r="R106" s="98"/>
    </row>
    <row r="107" spans="1:18" ht="19.5" customHeight="1" outlineLevel="1">
      <c r="A107" s="287" t="s">
        <v>652</v>
      </c>
      <c r="B107" s="539"/>
      <c r="C107" s="539"/>
      <c r="D107" s="539"/>
      <c r="E107" s="539"/>
      <c r="F107" s="539"/>
      <c r="G107" s="539"/>
      <c r="H107" s="539"/>
      <c r="I107" s="539"/>
      <c r="J107" s="539"/>
      <c r="K107" s="539"/>
      <c r="L107" s="539"/>
      <c r="M107" s="539"/>
      <c r="N107" s="539"/>
      <c r="O107" s="539"/>
      <c r="R107" s="98"/>
    </row>
    <row r="108" spans="1:18" ht="19.5" customHeight="1" outlineLevel="1">
      <c r="A108" s="116"/>
      <c r="B108" s="539"/>
      <c r="C108" s="539"/>
      <c r="D108" s="539"/>
      <c r="E108" s="539"/>
      <c r="F108" s="539"/>
      <c r="G108" s="539"/>
      <c r="H108" s="539"/>
      <c r="I108" s="539"/>
      <c r="J108" s="539"/>
      <c r="K108" s="539"/>
      <c r="L108" s="539"/>
      <c r="M108" s="539"/>
      <c r="N108" s="539"/>
      <c r="O108" s="539"/>
      <c r="R108" s="98"/>
    </row>
    <row r="109" spans="1:18" ht="19.5" customHeight="1" outlineLevel="1">
      <c r="A109" s="557" t="s">
        <v>653</v>
      </c>
      <c r="B109" s="558"/>
      <c r="C109" s="301" t="s">
        <v>654</v>
      </c>
      <c r="D109" s="301" t="s">
        <v>655</v>
      </c>
      <c r="E109" s="557" t="s">
        <v>656</v>
      </c>
      <c r="F109" s="558"/>
      <c r="G109" s="558"/>
      <c r="H109" s="558"/>
      <c r="I109" s="116"/>
      <c r="J109" s="116"/>
      <c r="K109" s="116"/>
      <c r="L109" s="116"/>
      <c r="M109" s="116"/>
      <c r="N109" s="116"/>
      <c r="O109" s="116"/>
      <c r="R109" s="98"/>
    </row>
    <row r="110" spans="1:18" ht="19.5" customHeight="1" outlineLevel="1">
      <c r="A110" s="527" t="s">
        <v>1141</v>
      </c>
      <c r="B110" s="526"/>
      <c r="C110" s="304"/>
      <c r="D110" s="305"/>
      <c r="E110" s="544" t="str">
        <f>IF(OR('_CB Analysis'!$I$25&lt;&gt;"OK",COUNT($G$16)&lt;&gt;1,$G$16&lt;0),"",IF('_CB Helpers'!P110="","",'_CB Helpers'!P110))</f>
        <v/>
      </c>
      <c r="F110" s="526"/>
      <c r="G110" s="526"/>
      <c r="H110" s="526"/>
      <c r="I110" s="116"/>
      <c r="J110" s="116"/>
      <c r="K110" s="116"/>
      <c r="L110" s="116"/>
      <c r="M110" s="116"/>
      <c r="N110" s="116"/>
      <c r="O110" s="116"/>
      <c r="R110" s="98"/>
    </row>
    <row r="111" spans="1:18" ht="19.5" customHeight="1" outlineLevel="1">
      <c r="A111" s="527" t="s">
        <v>1143</v>
      </c>
      <c r="B111" s="526"/>
      <c r="C111" s="304"/>
      <c r="D111" s="305"/>
      <c r="E111" s="544" t="str">
        <f>IF(OR('_CB Analysis'!$I$25&lt;&gt;"OK",COUNT($G$16)&lt;&gt;1,$G$16&lt;0),"",IF('_CB Helpers'!P111="","",'_CB Helpers'!P111))</f>
        <v/>
      </c>
      <c r="F111" s="526"/>
      <c r="G111" s="526"/>
      <c r="H111" s="526"/>
      <c r="I111" s="116"/>
      <c r="J111" s="116"/>
      <c r="K111" s="116"/>
      <c r="L111" s="116"/>
      <c r="M111" s="116"/>
      <c r="N111" s="116"/>
      <c r="O111" s="116"/>
      <c r="R111" s="98"/>
    </row>
    <row r="112" spans="1:18" ht="19.5" customHeight="1" outlineLevel="1">
      <c r="A112" s="527" t="s">
        <v>1145</v>
      </c>
      <c r="B112" s="526"/>
      <c r="C112" s="304"/>
      <c r="D112" s="305"/>
      <c r="E112" s="544" t="str">
        <f>IF(OR('_CB Analysis'!$I$25&lt;&gt;"OK",COUNT($G$16)&lt;&gt;1,$G$16&lt;0),"",IF('_CB Helpers'!P112="","",'_CB Helpers'!P112))</f>
        <v/>
      </c>
      <c r="F112" s="526"/>
      <c r="G112" s="526"/>
      <c r="H112" s="526"/>
      <c r="I112" s="116"/>
      <c r="J112" s="116"/>
      <c r="K112" s="116"/>
      <c r="L112" s="116"/>
      <c r="M112" s="116"/>
      <c r="N112" s="116"/>
      <c r="O112" s="116"/>
      <c r="R112" s="98"/>
    </row>
    <row r="113" spans="1:33" ht="19.5" customHeight="1" outlineLevel="1">
      <c r="A113" s="527" t="s">
        <v>1147</v>
      </c>
      <c r="B113" s="526"/>
      <c r="C113" s="304"/>
      <c r="D113" s="305"/>
      <c r="E113" s="544" t="str">
        <f>IF(OR('_CB Analysis'!$I$25&lt;&gt;"OK",COUNT($G$16)&lt;&gt;1,$G$16&lt;0),"",IF('_CB Helpers'!P113="","",'_CB Helpers'!P113))</f>
        <v/>
      </c>
      <c r="F113" s="526"/>
      <c r="G113" s="526"/>
      <c r="H113" s="526"/>
      <c r="I113" s="116"/>
      <c r="J113" s="116"/>
      <c r="K113" s="116"/>
      <c r="L113" s="116"/>
      <c r="M113" s="116"/>
      <c r="N113" s="116"/>
      <c r="O113" s="116"/>
      <c r="R113" s="98"/>
    </row>
    <row r="114" spans="1:33" ht="19.5" customHeight="1" outlineLevel="1">
      <c r="A114" s="527" t="s">
        <v>1142</v>
      </c>
      <c r="B114" s="526"/>
      <c r="C114" s="304"/>
      <c r="D114" s="305"/>
      <c r="E114" s="544" t="str">
        <f>IF(OR('_CB Analysis'!$I$25&lt;&gt;"OK",COUNT($G$16)&lt;&gt;1,$G$16&lt;0),"",IF('_CB Helpers'!P114="","",'_CB Helpers'!P114))</f>
        <v/>
      </c>
      <c r="F114" s="526"/>
      <c r="G114" s="526"/>
      <c r="H114" s="526"/>
      <c r="I114" s="116"/>
      <c r="J114" s="116"/>
      <c r="K114" s="116"/>
      <c r="L114" s="116"/>
      <c r="M114" s="116"/>
      <c r="N114" s="116"/>
      <c r="O114" s="116"/>
      <c r="R114" s="494" t="s">
        <v>826</v>
      </c>
      <c r="S114" s="494"/>
      <c r="T114" s="494"/>
      <c r="U114" s="494"/>
      <c r="V114" s="494"/>
      <c r="W114" s="494"/>
      <c r="X114" s="494"/>
      <c r="Y114" s="494"/>
      <c r="Z114" s="494"/>
      <c r="AA114" s="494"/>
      <c r="AB114" s="494"/>
      <c r="AC114" s="494"/>
      <c r="AD114" s="494"/>
      <c r="AE114" s="494"/>
      <c r="AF114" s="494"/>
      <c r="AG114" s="494"/>
    </row>
    <row r="115" spans="1:33" ht="19.5" customHeight="1" outlineLevel="1">
      <c r="A115" s="527" t="s">
        <v>1144</v>
      </c>
      <c r="B115" s="526"/>
      <c r="C115" s="304"/>
      <c r="D115" s="305"/>
      <c r="E115" s="544" t="str">
        <f>IF(OR('_CB Analysis'!$I$25&lt;&gt;"OK",COUNT($G$16)&lt;&gt;1,$G$16&lt;0),"",IF('_CB Helpers'!P115="","",'_CB Helpers'!P115))</f>
        <v/>
      </c>
      <c r="F115" s="526"/>
      <c r="G115" s="526"/>
      <c r="H115" s="526"/>
      <c r="I115" s="116"/>
      <c r="J115" s="116"/>
      <c r="K115" s="116"/>
      <c r="L115" s="116"/>
      <c r="M115" s="116"/>
      <c r="N115" s="116"/>
      <c r="O115" s="116"/>
      <c r="R115" s="494"/>
      <c r="S115" s="494"/>
      <c r="T115" s="494"/>
      <c r="U115" s="494"/>
      <c r="V115" s="494"/>
      <c r="W115" s="494"/>
      <c r="X115" s="494"/>
      <c r="Y115" s="494"/>
      <c r="Z115" s="494"/>
      <c r="AA115" s="494"/>
      <c r="AB115" s="494"/>
      <c r="AC115" s="494"/>
      <c r="AD115" s="494"/>
      <c r="AE115" s="494"/>
      <c r="AF115" s="494"/>
      <c r="AG115" s="494"/>
    </row>
    <row r="116" spans="1:33" ht="19.5" customHeight="1" outlineLevel="1">
      <c r="A116" s="527" t="s">
        <v>1146</v>
      </c>
      <c r="B116" s="526"/>
      <c r="C116" s="304"/>
      <c r="D116" s="305"/>
      <c r="E116" s="544" t="str">
        <f>IF(OR('_CB Analysis'!$I$25&lt;&gt;"OK",COUNT($G$16)&lt;&gt;1,$G$16&lt;0),"",IF('_CB Helpers'!P116="","",'_CB Helpers'!P116))</f>
        <v/>
      </c>
      <c r="F116" s="526"/>
      <c r="G116" s="526"/>
      <c r="H116" s="526"/>
      <c r="I116" s="116"/>
      <c r="J116" s="116"/>
      <c r="K116" s="116"/>
      <c r="L116" s="116"/>
      <c r="M116" s="116"/>
      <c r="N116" s="116"/>
      <c r="O116" s="116"/>
      <c r="R116" s="494"/>
      <c r="S116" s="494"/>
      <c r="T116" s="494"/>
      <c r="U116" s="494"/>
      <c r="V116" s="494"/>
      <c r="W116" s="494"/>
      <c r="X116" s="494"/>
      <c r="Y116" s="494"/>
      <c r="Z116" s="494"/>
      <c r="AA116" s="494"/>
      <c r="AB116" s="494"/>
      <c r="AC116" s="494"/>
      <c r="AD116" s="494"/>
      <c r="AE116" s="494"/>
      <c r="AF116" s="494"/>
      <c r="AG116" s="494"/>
    </row>
    <row r="117" spans="1:33" ht="19.5" customHeight="1" outlineLevel="1">
      <c r="A117" s="527" t="s">
        <v>1148</v>
      </c>
      <c r="B117" s="526"/>
      <c r="C117" s="304"/>
      <c r="D117" s="305"/>
      <c r="E117" s="544" t="str">
        <f>IF(OR('_CB Analysis'!$I$25&lt;&gt;"OK",COUNT($G$16)&lt;&gt;1,$G$16&lt;0),"",IF('_CB Helpers'!P117="","",'_CB Helpers'!P117))</f>
        <v/>
      </c>
      <c r="F117" s="526"/>
      <c r="G117" s="526"/>
      <c r="H117" s="526"/>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7" t="s">
        <v>831</v>
      </c>
      <c r="S118" s="494"/>
      <c r="T118" s="494"/>
      <c r="U118" s="494"/>
      <c r="V118" s="494"/>
      <c r="W118" s="494"/>
      <c r="X118" s="494"/>
      <c r="Y118" s="494"/>
      <c r="Z118" s="494"/>
      <c r="AA118" s="494"/>
      <c r="AB118" s="494"/>
      <c r="AC118" s="494"/>
      <c r="AD118" s="494"/>
      <c r="AE118" s="494"/>
      <c r="AF118" s="494"/>
      <c r="AG118" s="494"/>
    </row>
    <row r="119" spans="1:33" ht="19.5" customHeight="1">
      <c r="A119" s="527" t="str">
        <f>IF(OR('_CB Analysis'!$I$25&lt;&gt;"OK",COUNT($G$16)&lt;&gt;1,$G$16&lt;0),"",IF(CBBeamGroupsFit($C$40:$D$47,$C$110:$D$117,$G$14:$G$16,$G$58),"Steel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c r="R119" s="494"/>
      <c r="S119" s="494"/>
      <c r="T119" s="494"/>
      <c r="U119" s="494"/>
      <c r="V119" s="494"/>
      <c r="W119" s="494"/>
      <c r="X119" s="494"/>
      <c r="Y119" s="494"/>
      <c r="Z119" s="494"/>
      <c r="AA119" s="494"/>
      <c r="AB119" s="494"/>
      <c r="AC119" s="494"/>
      <c r="AD119" s="494"/>
      <c r="AE119" s="494"/>
      <c r="AF119" s="494"/>
      <c r="AG119" s="494"/>
    </row>
    <row r="120" spans="1:33" ht="19.5" hidden="1" customHeight="1">
      <c r="A120" s="116"/>
      <c r="B120" s="556"/>
      <c r="C120" s="556"/>
      <c r="D120" s="556"/>
      <c r="E120" s="556"/>
      <c r="F120" s="556"/>
      <c r="G120" s="556"/>
      <c r="H120" s="556"/>
      <c r="I120" s="556"/>
      <c r="J120" s="556"/>
      <c r="K120" s="556"/>
      <c r="L120" s="556"/>
      <c r="M120" s="556"/>
      <c r="N120" s="556"/>
      <c r="O120" s="116"/>
      <c r="R120" s="494"/>
      <c r="S120" s="494"/>
      <c r="T120" s="494"/>
      <c r="U120" s="494"/>
      <c r="V120" s="494"/>
      <c r="W120" s="494"/>
      <c r="X120" s="494"/>
      <c r="Y120" s="494"/>
      <c r="Z120" s="494"/>
      <c r="AA120" s="494"/>
      <c r="AB120" s="494"/>
      <c r="AC120" s="494"/>
      <c r="AD120" s="494"/>
      <c r="AE120" s="494"/>
      <c r="AF120" s="494"/>
      <c r="AG120" s="494"/>
    </row>
    <row r="121" spans="1:33" ht="19.5" hidden="1" customHeight="1">
      <c r="A121" s="116"/>
      <c r="B121" s="539"/>
      <c r="C121" s="539"/>
      <c r="D121" s="539"/>
      <c r="E121" s="539"/>
      <c r="F121" s="539"/>
      <c r="G121" s="539"/>
      <c r="H121" s="539"/>
      <c r="I121" s="539"/>
      <c r="J121" s="539"/>
      <c r="K121" s="539"/>
      <c r="L121" s="539"/>
      <c r="M121" s="539"/>
      <c r="N121" s="539"/>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f>N(INDEX(Input!J124:J143,T37-123))</f>
        <v>0</v>
      </c>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f>N(INDEX(Input!K124:K143,T37-123))</f>
        <v>0</v>
      </c>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f>N(INDEX(Input!L124:L143,T37-123))</f>
        <v>0</v>
      </c>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G88:G65536 G26:G85 K25:L25 G14:H24 C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A117:B117"/>
    <mergeCell ref="E117:H117"/>
    <mergeCell ref="R118:AG120"/>
    <mergeCell ref="A119:O119"/>
    <mergeCell ref="B120:N120"/>
    <mergeCell ref="B121:D121"/>
    <mergeCell ref="E121:N121"/>
    <mergeCell ref="A113:B113"/>
    <mergeCell ref="E113:H113"/>
    <mergeCell ref="A114:B114"/>
    <mergeCell ref="E114:H114"/>
    <mergeCell ref="R114:AG116"/>
    <mergeCell ref="A115:B115"/>
    <mergeCell ref="E115:H115"/>
    <mergeCell ref="A116:B116"/>
    <mergeCell ref="E116:H116"/>
    <mergeCell ref="A110:B110"/>
    <mergeCell ref="E110:H110"/>
    <mergeCell ref="A111:B111"/>
    <mergeCell ref="E111:H111"/>
    <mergeCell ref="A112:B112"/>
    <mergeCell ref="E112:H112"/>
    <mergeCell ref="R89:AG90"/>
    <mergeCell ref="R91:AG92"/>
    <mergeCell ref="A104:O104"/>
    <mergeCell ref="B105:O108"/>
    <mergeCell ref="A109:B109"/>
    <mergeCell ref="E109:H109"/>
    <mergeCell ref="B83:E83"/>
    <mergeCell ref="B84:E84"/>
    <mergeCell ref="R84:AG87"/>
    <mergeCell ref="N85:O85"/>
    <mergeCell ref="K87:L87"/>
    <mergeCell ref="N88:O88"/>
    <mergeCell ref="J76:J77"/>
    <mergeCell ref="K76:K77"/>
    <mergeCell ref="R77:W78"/>
    <mergeCell ref="X77:Z78"/>
    <mergeCell ref="AA77:AC78"/>
    <mergeCell ref="R79:W80"/>
    <mergeCell ref="X79:Z80"/>
    <mergeCell ref="AA79:AC80"/>
    <mergeCell ref="R73:AG75"/>
    <mergeCell ref="B74:B75"/>
    <mergeCell ref="E74:E75"/>
    <mergeCell ref="F74:F75"/>
    <mergeCell ref="G74:H74"/>
    <mergeCell ref="J74:J75"/>
    <mergeCell ref="K74:K75"/>
    <mergeCell ref="L74:L75"/>
    <mergeCell ref="G75:H75"/>
    <mergeCell ref="B72:B73"/>
    <mergeCell ref="F72:F73"/>
    <mergeCell ref="G72:H72"/>
    <mergeCell ref="J72:J73"/>
    <mergeCell ref="K72:K73"/>
    <mergeCell ref="G73:H73"/>
    <mergeCell ref="AA66:AC67"/>
    <mergeCell ref="AD66:AG67"/>
    <mergeCell ref="R68:W69"/>
    <mergeCell ref="X68:Z69"/>
    <mergeCell ref="AA68:AC69"/>
    <mergeCell ref="AD68:AG69"/>
    <mergeCell ref="R70:W71"/>
    <mergeCell ref="X70:Z71"/>
    <mergeCell ref="AA70:AC71"/>
    <mergeCell ref="AD70:AG71"/>
    <mergeCell ref="E63:E64"/>
    <mergeCell ref="F63:F64"/>
    <mergeCell ref="G63:I63"/>
    <mergeCell ref="J63:J64"/>
    <mergeCell ref="K63:K64"/>
    <mergeCell ref="L63:L64"/>
    <mergeCell ref="AD58:AG59"/>
    <mergeCell ref="R60:W61"/>
    <mergeCell ref="X60:Z61"/>
    <mergeCell ref="AA60:AC61"/>
    <mergeCell ref="AD60:AG61"/>
    <mergeCell ref="R62:W63"/>
    <mergeCell ref="X62:Z63"/>
    <mergeCell ref="AA62:AC63"/>
    <mergeCell ref="AD62:AG63"/>
    <mergeCell ref="N63:N64"/>
    <mergeCell ref="G64:I64"/>
    <mergeCell ref="R64:W65"/>
    <mergeCell ref="X64:Z65"/>
    <mergeCell ref="AA64:AC65"/>
    <mergeCell ref="AD64:AG65"/>
    <mergeCell ref="N65:N66"/>
    <mergeCell ref="R66:W67"/>
    <mergeCell ref="X66:Z67"/>
    <mergeCell ref="J58:J59"/>
    <mergeCell ref="K58:K59"/>
    <mergeCell ref="R58:W59"/>
    <mergeCell ref="X58:Z59"/>
    <mergeCell ref="AA58:AC59"/>
    <mergeCell ref="J56:J57"/>
    <mergeCell ref="K56:K57"/>
    <mergeCell ref="R56:W57"/>
    <mergeCell ref="X56:Z57"/>
    <mergeCell ref="AA56:AC57"/>
    <mergeCell ref="AD56:AG57"/>
    <mergeCell ref="AD51:AG52"/>
    <mergeCell ref="R54:W55"/>
    <mergeCell ref="X54:Z55"/>
    <mergeCell ref="AA54:AC55"/>
    <mergeCell ref="AD54:AG55"/>
    <mergeCell ref="B56:B57"/>
    <mergeCell ref="C56:C57"/>
    <mergeCell ref="D56:D57"/>
    <mergeCell ref="F56:F57"/>
    <mergeCell ref="G56:H56"/>
    <mergeCell ref="G57:H57"/>
    <mergeCell ref="N45:O45"/>
    <mergeCell ref="BR45:BT45"/>
    <mergeCell ref="BU45:BW45"/>
    <mergeCell ref="BX45:CA45"/>
    <mergeCell ref="CB45:CG45"/>
    <mergeCell ref="R48:AG49"/>
    <mergeCell ref="BR49:CG52"/>
    <mergeCell ref="R51:W52"/>
    <mergeCell ref="X51:Z52"/>
    <mergeCell ref="AA51:AC52"/>
    <mergeCell ref="BR36:CG41"/>
    <mergeCell ref="G37:H37"/>
    <mergeCell ref="B38:B39"/>
    <mergeCell ref="E38:E39"/>
    <mergeCell ref="F38:F39"/>
    <mergeCell ref="G38:H38"/>
    <mergeCell ref="I38:I39"/>
    <mergeCell ref="R43:S44"/>
    <mergeCell ref="T43:V44"/>
    <mergeCell ref="BR43:CG43"/>
    <mergeCell ref="BR44:BT44"/>
    <mergeCell ref="BU44:BW44"/>
    <mergeCell ref="BX44:CA44"/>
    <mergeCell ref="CB44:CG44"/>
    <mergeCell ref="J38:J39"/>
    <mergeCell ref="K38:K39"/>
    <mergeCell ref="L38:L39"/>
    <mergeCell ref="N38:N39"/>
    <mergeCell ref="R33:V34"/>
    <mergeCell ref="B36:B37"/>
    <mergeCell ref="E36:E37"/>
    <mergeCell ref="F36:F37"/>
    <mergeCell ref="G36:H36"/>
    <mergeCell ref="J36:J37"/>
    <mergeCell ref="G39:H39"/>
    <mergeCell ref="R40:V41"/>
    <mergeCell ref="N41:O41"/>
    <mergeCell ref="K36:K37"/>
    <mergeCell ref="L36:L37"/>
    <mergeCell ref="N36:N37"/>
    <mergeCell ref="R24:V24"/>
    <mergeCell ref="X24:AA25"/>
    <mergeCell ref="AB24:AD25"/>
    <mergeCell ref="AE24:AG25"/>
    <mergeCell ref="G25:I25"/>
    <mergeCell ref="B26:D26"/>
    <mergeCell ref="R26:V26"/>
    <mergeCell ref="X26:AA27"/>
    <mergeCell ref="AB26:AD27"/>
    <mergeCell ref="AE26:AG27"/>
    <mergeCell ref="R27:V28"/>
    <mergeCell ref="X28:AG31"/>
    <mergeCell ref="R29:V30"/>
    <mergeCell ref="R31:V32"/>
    <mergeCell ref="X20:AA21"/>
    <mergeCell ref="AB20:AD21"/>
    <mergeCell ref="AE20:AG21"/>
    <mergeCell ref="B21:N21"/>
    <mergeCell ref="R22:V22"/>
    <mergeCell ref="X22:AA23"/>
    <mergeCell ref="AB22:AD23"/>
    <mergeCell ref="AE22:AG23"/>
    <mergeCell ref="R23:V23"/>
    <mergeCell ref="R16:S16"/>
    <mergeCell ref="T16:U16"/>
    <mergeCell ref="X16:AA17"/>
    <mergeCell ref="AB16:AD17"/>
    <mergeCell ref="AE16:AG17"/>
    <mergeCell ref="B18:D18"/>
    <mergeCell ref="X18:AA19"/>
    <mergeCell ref="AB18:AD19"/>
    <mergeCell ref="AE18:AG19"/>
    <mergeCell ref="B19:D19"/>
    <mergeCell ref="X12:AA13"/>
    <mergeCell ref="AB12:AD13"/>
    <mergeCell ref="AE12:AG13"/>
    <mergeCell ref="R13:S13"/>
    <mergeCell ref="T13:V13"/>
    <mergeCell ref="X14:AA15"/>
    <mergeCell ref="AB14:AD15"/>
    <mergeCell ref="AE14:AG15"/>
    <mergeCell ref="BR9:CG10"/>
    <mergeCell ref="R10:S10"/>
    <mergeCell ref="X10:AA11"/>
    <mergeCell ref="AB10:AD11"/>
    <mergeCell ref="AE10:AG11"/>
    <mergeCell ref="B11:N11"/>
    <mergeCell ref="R11:S11"/>
    <mergeCell ref="BR11:BW11"/>
    <mergeCell ref="BX11:CG11"/>
    <mergeCell ref="R8:S8"/>
    <mergeCell ref="X8:AA9"/>
    <mergeCell ref="AB8:AD9"/>
    <mergeCell ref="AE8:AG9"/>
    <mergeCell ref="C9:N9"/>
    <mergeCell ref="R9:S9"/>
    <mergeCell ref="B2:N2"/>
    <mergeCell ref="R3:V4"/>
    <mergeCell ref="X3:AG4"/>
    <mergeCell ref="B5:I5"/>
    <mergeCell ref="J5:N5"/>
    <mergeCell ref="B6:O6"/>
    <mergeCell ref="X6:AA7"/>
    <mergeCell ref="AB6:AD7"/>
    <mergeCell ref="AE6:AG7"/>
  </mergeCells>
  <phoneticPr fontId="10" type="noConversion"/>
  <conditionalFormatting sqref="N87 N61 N63:N64 N44 N77:N78 N59 N49 N51:N57 N27 N30:N40 N69:N70 N82:N85">
    <cfRule type="cellIs" dxfId="11" priority="1" stopIfTrue="1" operator="equal">
      <formula>"NOT OKAY"</formula>
    </cfRule>
  </conditionalFormatting>
  <dataValidations count="15">
    <dataValidation type="list" allowBlank="1" showInputMessage="1" showErrorMessage="1" sqref="AB11 AC10:AD11 AF10:AG11 AE11" xr:uid="{4FD880D0-0C33-4036-B5EB-CE1B4BEFE0FB}">
      <formula1>"Simply-supported,Manual reaction"</formula1>
    </dataValidation>
    <dataValidation type="list" allowBlank="1" showInputMessage="1" showErrorMessage="1" sqref="AB9 AC8:AD9 AF8:AG9 AE9" xr:uid="{2179AE9C-329A-4D68-9BDE-712CEA306C0E}">
      <formula1>"Yes,No"</formula1>
    </dataValidation>
    <dataValidation type="list" allowBlank="1" showInputMessage="1" showErrorMessage="1" sqref="U13:V13" xr:uid="{CD1D0C03-47FF-4B46-8FAD-243020E9298A}">
      <formula1>"Simply-supported,End span,Continuous"</formula1>
    </dataValidation>
    <dataValidation type="list" allowBlank="1" showInputMessage="1" showErrorMessage="1" sqref="T16:U16" xr:uid="{ACE20DC2-1E34-4005-89D8-AA3646CD9A5A}">
      <formula1>"Auto,Manual"</formula1>
    </dataValidation>
    <dataValidation type="decimal" operator="greaterThanOrEqual" allowBlank="1" showInputMessage="1" showErrorMessage="1" sqref="G13" xr:uid="{A696FE57-44BC-4D3A-982F-535FEF118938}">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E96AA9AE-0E4B-4B10-912A-9647DCEBFA78}">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194D041B-BC0A-4E5A-8083-0E73CB8B5F89}">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64718F68-9752-4D07-9CBD-76194210EA52}">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ED7B66D8-E76C-4069-B31E-C701FDFF1ADD}">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ECA094ED-519E-4174-BFC7-3237D4C1891E}">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D7CAFBD7-3577-458B-B056-53B2F6B8A26A}">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61DEAE57-02ED-4E93-8FCB-D8214103FBD1}">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D8BC8267-3450-4747-B727-7BB4D582DB4C}">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93EED443-387B-4AC4-8331-F7BEEFD3F8F9}">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05154FE0-CB08-45E8-8DA0-59B80C8910BD}">
      <formula1>"250,225,200,175,150,125,100,75"</formula1>
    </dataValidation>
  </dataValidations>
  <hyperlinks>
    <hyperlink ref="R118" r:id="rId1" display="https://www.hkie-st.org/wp-content/uploads/2022/06/85_book1-01022018e.pdf" xr:uid="{DD5EA373-CD58-49CD-82AA-2A90F5EC0420}"/>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E0994-3DD5-43CC-A8CD-9AEDE29E9ED0}">
  <sheetPr codeName="Sheet11">
    <tabColor rgb="FF205E73"/>
    <pageSetUpPr fitToPage="1"/>
  </sheetPr>
  <dimension ref="A1:CG143"/>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69" width="0"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71">
        <v>1</v>
      </c>
      <c r="B1" s="267">
        <v>2</v>
      </c>
      <c r="C1" s="267">
        <v>3</v>
      </c>
      <c r="D1" s="267">
        <v>4</v>
      </c>
      <c r="E1" s="267">
        <v>5</v>
      </c>
      <c r="F1" s="267">
        <v>6</v>
      </c>
      <c r="G1" s="267">
        <v>7</v>
      </c>
      <c r="H1" s="267">
        <v>8</v>
      </c>
      <c r="I1" s="267">
        <v>9</v>
      </c>
      <c r="J1" s="267">
        <v>10</v>
      </c>
      <c r="K1" s="267">
        <v>11</v>
      </c>
      <c r="L1" s="267">
        <v>12</v>
      </c>
      <c r="M1" s="267">
        <v>13</v>
      </c>
      <c r="N1" s="267">
        <v>14</v>
      </c>
      <c r="O1" s="271">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R1" s="135"/>
      <c r="BS1" s="135"/>
      <c r="BT1" s="135"/>
      <c r="BU1" s="135"/>
      <c r="BV1" s="135"/>
      <c r="BW1" s="135"/>
      <c r="BX1" s="135"/>
      <c r="BY1" s="135"/>
      <c r="BZ1" s="135"/>
      <c r="CA1" s="135"/>
      <c r="CB1" s="135"/>
      <c r="CC1" s="135"/>
      <c r="CD1" s="135"/>
      <c r="CE1" s="135"/>
      <c r="CF1" s="135"/>
      <c r="CG1" s="135"/>
    </row>
    <row r="2" spans="1:85" ht="27" customHeight="1">
      <c r="A2" s="116"/>
      <c r="B2" s="410" t="s">
        <v>977</v>
      </c>
      <c r="C2" s="410"/>
      <c r="D2" s="410"/>
      <c r="E2" s="410"/>
      <c r="F2" s="410"/>
      <c r="G2" s="410"/>
      <c r="H2" s="410"/>
      <c r="I2" s="410"/>
      <c r="J2" s="410"/>
      <c r="K2" s="410"/>
      <c r="L2" s="410"/>
      <c r="M2" s="410"/>
      <c r="N2" s="410"/>
      <c r="O2" s="141"/>
      <c r="AK2" s="72" t="s">
        <v>561</v>
      </c>
      <c r="AL2" s="68" t="e">
        <f>IF(OR(G15&gt;750,K25&lt;&gt;0),ROUNDUP(AM3/T10,0),"")</f>
        <v>#VALUE!</v>
      </c>
      <c r="AM2" s="68" t="e">
        <f>MIN(AR16,AU16,AX16,BA16)</f>
        <v>#VALUE!</v>
      </c>
      <c r="AN2" s="69"/>
      <c r="AO2" s="70">
        <f>G16</f>
        <v>40</v>
      </c>
      <c r="AP2" s="73" t="e">
        <f>AM3/2</f>
        <v>#VALUE!</v>
      </c>
      <c r="AR2" s="269" t="e">
        <f>AD14</f>
        <v>#VALUE!</v>
      </c>
      <c r="AS2" s="70">
        <f>AD16</f>
        <v>40</v>
      </c>
      <c r="AT2" s="70">
        <f>(AC15-AC14)/(C40-1)</f>
        <v>920</v>
      </c>
      <c r="AU2" s="70">
        <f>IF(AW2=0,$G$16,AR2-AF10)</f>
        <v>40</v>
      </c>
      <c r="AV2" s="70">
        <f>AS2</f>
        <v>40</v>
      </c>
      <c r="AW2" s="70">
        <f>IF((AC15-AC14)/(C41-1)&lt;0,0,(AC15-AC14)/(C41-1))</f>
        <v>0</v>
      </c>
      <c r="AX2" s="70">
        <f>IF(AZ2=0,$G$16,$AU$2-AF10)</f>
        <v>40</v>
      </c>
      <c r="AY2" s="70">
        <f>AV2</f>
        <v>40</v>
      </c>
      <c r="AZ2" s="70">
        <f>IF((AC15-AC14)/(C42-1)&lt;0,0,(AC16-AC14)/(C42-1))</f>
        <v>0</v>
      </c>
      <c r="BA2" s="70">
        <f>IF(BC2=0,$G$16,$AX$2-AF10)</f>
        <v>40</v>
      </c>
      <c r="BB2" s="70">
        <f>AY2</f>
        <v>40</v>
      </c>
      <c r="BC2" s="73">
        <f>IF((AC15-AC14)/(C43-1)&lt;0,0,(AC15-AC14)/(C43-1))</f>
        <v>0</v>
      </c>
      <c r="BD2" s="269">
        <f>AC13</f>
        <v>40</v>
      </c>
      <c r="BE2" s="70">
        <f>AC13</f>
        <v>40</v>
      </c>
      <c r="BF2" s="70">
        <f>(AC15-AC14)/(C44-1)</f>
        <v>920</v>
      </c>
      <c r="BG2" s="70">
        <f>IF(BI2=0,$G$16,BD2+AF10)</f>
        <v>40</v>
      </c>
      <c r="BH2" s="70">
        <f>BE2</f>
        <v>40</v>
      </c>
      <c r="BI2" s="70">
        <f>IF((AC15-AC14)/(C45-1)&lt;0,0,(AC15-AC14)/(C45-1))</f>
        <v>0</v>
      </c>
      <c r="BJ2" s="70">
        <f>IF(BL2=0,$G$16,$BG$2+AF10)</f>
        <v>40</v>
      </c>
      <c r="BK2" s="70">
        <f>BH2</f>
        <v>40</v>
      </c>
      <c r="BL2" s="70">
        <f>IF((AC15-AC14)/(C46-1)&lt;0,0,(AC15-AC14)/(C46-1))</f>
        <v>0</v>
      </c>
      <c r="BM2" s="70">
        <f>IF(BO2=0,$G$16,$BJ$2+AF10)</f>
        <v>40</v>
      </c>
      <c r="BN2" s="70">
        <f>BK2</f>
        <v>40</v>
      </c>
      <c r="BO2" s="73">
        <f>IF((AC15-AC14)/(C47-1)&lt;0,0,(AC15-AC14)/(C47-1))</f>
        <v>0</v>
      </c>
      <c r="BR2" s="135"/>
      <c r="BS2" s="135"/>
      <c r="BT2" s="135"/>
      <c r="BU2" s="135"/>
      <c r="BV2" s="135"/>
      <c r="BW2" s="135"/>
      <c r="BX2" s="135"/>
      <c r="BY2" s="135"/>
      <c r="BZ2" s="135"/>
      <c r="CA2" s="135"/>
      <c r="CB2" s="135"/>
      <c r="CC2" s="135"/>
      <c r="CD2" s="135"/>
      <c r="CE2" s="135"/>
      <c r="CF2" s="135"/>
      <c r="CG2" s="135"/>
    </row>
    <row r="3" spans="1:85" ht="15" customHeight="1">
      <c r="A3" s="116"/>
      <c r="B3" s="140"/>
      <c r="C3" s="140"/>
      <c r="D3" s="140"/>
      <c r="E3" s="140"/>
      <c r="F3" s="140"/>
      <c r="G3" s="140"/>
      <c r="H3" s="140"/>
      <c r="I3" s="140"/>
      <c r="J3" s="140"/>
      <c r="K3" s="140"/>
      <c r="L3" s="140"/>
      <c r="M3" s="140"/>
      <c r="N3" s="140"/>
      <c r="O3" s="116"/>
      <c r="R3" s="71" t="s">
        <v>562</v>
      </c>
      <c r="AC3" s="70" t="s">
        <v>563</v>
      </c>
      <c r="AD3" s="70">
        <f>$G$16</f>
        <v>40</v>
      </c>
      <c r="AE3" s="70" t="e">
        <f>Y4-AD3</f>
        <v>#VALUE!</v>
      </c>
      <c r="AH3" s="70" t="s">
        <v>564</v>
      </c>
      <c r="AK3" s="74" t="str">
        <f>O69</f>
        <v/>
      </c>
      <c r="AL3" s="70" t="e">
        <f>IF(AL2="","",(MIN(AR16,AU16,AX16,BA16)-MAX(BD16,BG16,BJ16,BM16))/AL2)</f>
        <v>#VALUE!</v>
      </c>
      <c r="AM3" s="70" t="e">
        <f>MIN(AR16,AU16,AX16,BA16)-MAX(BD16,BG16,BJ16,BM16)</f>
        <v>#VALUE!</v>
      </c>
      <c r="AO3" s="70" t="e">
        <f>IF(AL5="",AO2,Y4-AO2)</f>
        <v>#VALUE!</v>
      </c>
      <c r="AP3" s="70" t="e">
        <f>AP2</f>
        <v>#VALUE!</v>
      </c>
      <c r="AR3" s="269" t="e">
        <f t="shared" ref="AR3:AR15" si="0">IF(AS3&lt;&gt;$G$16,$AR$2,$G$16)</f>
        <v>#VALUE!</v>
      </c>
      <c r="AS3" s="70">
        <f>IF(AS2=0,0,IF(AS2+$AT$2&gt;$AC$15,0,AS2+$AT$2))</f>
        <v>960</v>
      </c>
      <c r="AU3" s="70">
        <f t="shared" ref="AU3:AU15" si="1">IF(AV3&lt;&gt;$G$16,$AU$2,$G$16)</f>
        <v>40</v>
      </c>
      <c r="AV3" s="70">
        <f>IF(AV2=0,0,IF(AV2+$AW$2&gt;$AC$15,0,AV2+$AW$2))</f>
        <v>40</v>
      </c>
      <c r="AX3" s="70">
        <f t="shared" ref="AX3:AX14" si="2">IF(AY3&lt;&gt;$G$16,$AX$2,$G$16)</f>
        <v>40</v>
      </c>
      <c r="AY3" s="70">
        <f>IF(AY2=0,0,IF(AY2+$AZ$2&gt;$AC$15,0,AY2+$AZ$2))</f>
        <v>40</v>
      </c>
      <c r="BA3" s="70">
        <f t="shared" ref="BA3:BA15" si="3">IF(BB3&lt;&gt;$G$16,$BA$2,$G$16)</f>
        <v>40</v>
      </c>
      <c r="BB3" s="70">
        <f>IF(BB2=0,0,IF(BB2+$BC$2&gt;$AC$15,0,BB2+$BC$2))</f>
        <v>40</v>
      </c>
      <c r="BC3" s="73"/>
      <c r="BD3" s="269">
        <f>IF(BE3&lt;&gt;0,$BD$2,0)</f>
        <v>40</v>
      </c>
      <c r="BE3" s="70">
        <f>IF(BE2=0,0,IF(BE2+$BF$2&gt;$AC$15,0,BE2+$BF$2))</f>
        <v>960</v>
      </c>
      <c r="BG3" s="70">
        <f t="shared" ref="BG3:BG15" si="4">IF(BH3&lt;&gt;$G$16,$BG$2,$G$16)</f>
        <v>40</v>
      </c>
      <c r="BH3" s="70">
        <f>IF(BH2=0,0,IF(BH2+$BI$2&gt;$AC$15,0,BH2+$BI$2))</f>
        <v>40</v>
      </c>
      <c r="BJ3" s="70">
        <f t="shared" ref="BJ3:BJ15" si="5">IF(BK3&lt;&gt;$G$16,$BJ$2,$G$16)</f>
        <v>40</v>
      </c>
      <c r="BK3" s="70">
        <f>IF(BK2=0,0,IF(BK2+$BL$2&gt;$AC$15,0,BK2+$BL$2))</f>
        <v>40</v>
      </c>
      <c r="BM3" s="70">
        <f t="shared" ref="BM3:BM15" si="6">IF(BN3&lt;&gt;$G$16,$BM$2,$G$16)</f>
        <v>40</v>
      </c>
      <c r="BN3" s="70">
        <f>IF(BN2=0,0,IF(BN2+$BO$2&gt;$AC$15,0,BN2+$BO$2))</f>
        <v>40</v>
      </c>
      <c r="BO3" s="73"/>
      <c r="BR3" s="135"/>
      <c r="BS3" s="135"/>
      <c r="BT3" s="135"/>
      <c r="BU3" s="135"/>
      <c r="BV3" s="135"/>
      <c r="BW3" s="135"/>
      <c r="BX3" s="135"/>
      <c r="BY3" s="135"/>
      <c r="BZ3" s="135"/>
      <c r="CA3" s="135"/>
      <c r="CB3" s="135"/>
      <c r="CC3" s="135"/>
      <c r="CD3" s="135"/>
      <c r="CE3" s="135"/>
      <c r="CF3" s="135"/>
      <c r="CG3" s="135"/>
    </row>
    <row r="4" spans="1:85" ht="15" customHeight="1">
      <c r="A4" s="116"/>
      <c r="B4" s="140"/>
      <c r="C4" s="140"/>
      <c r="D4" s="140"/>
      <c r="E4" s="140"/>
      <c r="F4" s="140"/>
      <c r="G4" s="140"/>
      <c r="H4" s="140"/>
      <c r="I4" s="140"/>
      <c r="J4" s="140"/>
      <c r="K4" s="140"/>
      <c r="L4" s="140"/>
      <c r="M4" s="140"/>
      <c r="N4" s="140"/>
      <c r="O4" s="116"/>
      <c r="R4" s="71" t="s">
        <v>565</v>
      </c>
      <c r="Y4" s="70" t="e">
        <f>G12*1000</f>
        <v>#VALUE!</v>
      </c>
      <c r="Z4" s="70" t="str">
        <f>G15</f>
        <v/>
      </c>
      <c r="AA4" s="70">
        <v>0</v>
      </c>
      <c r="AB4" s="70">
        <v>0</v>
      </c>
      <c r="AC4" s="70" t="str">
        <f>IF(C40=0,"",C40&amp;"T"&amp;D40)</f>
        <v>2T16</v>
      </c>
      <c r="AD4" s="70" t="e">
        <f>AR2</f>
        <v>#VALUE!</v>
      </c>
      <c r="AE4" s="70" t="e">
        <f>AD4</f>
        <v>#VALUE!</v>
      </c>
      <c r="AH4" s="70" t="str">
        <f>IF(C44=0,"",C44&amp;"T"&amp;D44)</f>
        <v>2T16</v>
      </c>
      <c r="AI4" s="70">
        <f>BD2</f>
        <v>40</v>
      </c>
      <c r="AJ4" s="70">
        <f>AI4</f>
        <v>40</v>
      </c>
      <c r="AK4" s="74" t="str">
        <f>O77</f>
        <v/>
      </c>
      <c r="AL4" s="70" t="e">
        <f>IF(AL3="","",(AL3*MIN(500,G14)/G18)^0.5)</f>
        <v>#VALUE!</v>
      </c>
      <c r="AN4" s="73"/>
      <c r="AO4" s="270" t="e">
        <f>IF(AL4="","",AL2-1&amp;"T"&amp;AL5&amp;" EF")</f>
        <v>#VALUE!</v>
      </c>
      <c r="AR4" s="269">
        <f t="shared" si="0"/>
        <v>40</v>
      </c>
      <c r="AS4" s="70">
        <f t="shared" ref="AS4:AS15" si="7">IF(AS3=$G$16,$G$16,IF(AS3+$AT$2&gt;$AC$15,$G$16,AS3+$AT$2))</f>
        <v>40</v>
      </c>
      <c r="AU4" s="70">
        <f t="shared" si="1"/>
        <v>40</v>
      </c>
      <c r="AV4" s="70">
        <f t="shared" ref="AV4:AV15" si="8">IF(AV3=$G$16,$G$16,IF(AV3+$AW$2&gt;$AC$15,$G$16,AV3+$AW$2))</f>
        <v>40</v>
      </c>
      <c r="AX4" s="70">
        <f t="shared" si="2"/>
        <v>40</v>
      </c>
      <c r="AY4" s="70">
        <f t="shared" ref="AY4:AY15" si="9">IF(AY3=$G$16,$G$16,IF(AY3+$AZ$2&gt;$AC$15,$G$16,AY3+$AZ$2))</f>
        <v>40</v>
      </c>
      <c r="BA4" s="70">
        <f t="shared" si="3"/>
        <v>40</v>
      </c>
      <c r="BB4" s="70">
        <f t="shared" ref="BB4:BB15" si="10">IF(BB3=$G$16,$G$16,IF(BB3+$BC$2&gt;$AC$15,$G$16,BB3+$BC$2))</f>
        <v>40</v>
      </c>
      <c r="BC4" s="73"/>
      <c r="BD4" s="269">
        <f t="shared" ref="BD4:BD15" si="11">IF(BE4&lt;&gt;$G$16,$BD$2,$G$16)</f>
        <v>40</v>
      </c>
      <c r="BE4" s="70">
        <f t="shared" ref="BE4:BE15" si="12">IF(BE3=$G$16,$G$16,IF(BE3+$BF$2&gt;$AC$15,$G$16,BE3+$BF$2))</f>
        <v>40</v>
      </c>
      <c r="BG4" s="70">
        <f t="shared" si="4"/>
        <v>40</v>
      </c>
      <c r="BH4" s="70">
        <f t="shared" ref="BH4:BH15" si="13">IF(BH3=$G$16,$G$16,IF(BH3+$BI$2&gt;$AC$15,$G$16,BH3+$BI$2))</f>
        <v>40</v>
      </c>
      <c r="BJ4" s="70">
        <f t="shared" si="5"/>
        <v>40</v>
      </c>
      <c r="BK4" s="70">
        <f t="shared" ref="BK4:BK15" si="14">IF(BK3=$G$16,$G$16,IF(BK3+$BL$2&gt;$AC$15,$G$16,BK3+$BL$2))</f>
        <v>40</v>
      </c>
      <c r="BM4" s="70">
        <f t="shared" si="6"/>
        <v>40</v>
      </c>
      <c r="BN4" s="70">
        <f t="shared" ref="BN4:BN15" si="15">IF(BN3=$G$16,$G$16,IF(BN3+$BO$2&gt;$AC$15,$G$16,BN3+$BO$2))</f>
        <v>40</v>
      </c>
      <c r="BO4" s="73"/>
      <c r="BR4" s="135"/>
      <c r="BS4" s="135"/>
      <c r="BT4" s="135"/>
      <c r="BU4" s="135"/>
      <c r="BV4" s="135"/>
      <c r="BW4" s="135"/>
      <c r="BX4" s="135"/>
      <c r="BY4" s="135"/>
      <c r="BZ4" s="135"/>
      <c r="CA4" s="135"/>
      <c r="CB4" s="135"/>
      <c r="CC4" s="135"/>
      <c r="CD4" s="135"/>
      <c r="CE4" s="135"/>
      <c r="CF4" s="135"/>
      <c r="CG4" s="135"/>
    </row>
    <row r="5" spans="1:85" ht="24" customHeight="1">
      <c r="A5" s="116"/>
      <c r="B5" s="554" t="s">
        <v>1010</v>
      </c>
      <c r="C5" s="555"/>
      <c r="D5" s="555"/>
      <c r="E5" s="555"/>
      <c r="F5" s="555"/>
      <c r="G5" s="555"/>
      <c r="H5" s="555"/>
      <c r="I5" s="555"/>
      <c r="J5" s="555"/>
      <c r="K5" s="555"/>
      <c r="L5" s="555"/>
      <c r="M5" s="555"/>
      <c r="N5" s="555"/>
      <c r="O5" s="116"/>
      <c r="AA5" s="70">
        <v>0</v>
      </c>
      <c r="AB5" s="70" t="e">
        <f>Y4</f>
        <v>#VALUE!</v>
      </c>
      <c r="AC5" s="70" t="str">
        <f>IF(C41=0,"",C41&amp;"T"&amp;D41)</f>
        <v/>
      </c>
      <c r="AD5" s="70">
        <f>AU2</f>
        <v>40</v>
      </c>
      <c r="AE5" s="70">
        <f>AD5</f>
        <v>40</v>
      </c>
      <c r="AH5" s="70" t="str">
        <f>IF(C45=0,"",C45&amp;"T"&amp;D45)</f>
        <v/>
      </c>
      <c r="AI5" s="70">
        <f>BG2</f>
        <v>40</v>
      </c>
      <c r="AJ5" s="70">
        <f>AI5</f>
        <v>40</v>
      </c>
      <c r="AK5" s="74" t="str">
        <f>O78</f>
        <v/>
      </c>
      <c r="AL5" s="70" t="e">
        <f>IF(AL4="","",IF(AL4&lt;10,10,IF(AL4&lt;12,12,IF(AL4&lt;16,16,IF(AL4&lt;20,20,IF(AL4&lt;25,25,IF(AL4&lt;32,32,40)))))))</f>
        <v>#VALUE!</v>
      </c>
      <c r="AN5" s="73"/>
      <c r="AR5" s="269">
        <f t="shared" si="0"/>
        <v>40</v>
      </c>
      <c r="AS5" s="70">
        <f t="shared" si="7"/>
        <v>40</v>
      </c>
      <c r="AU5" s="70">
        <f t="shared" si="1"/>
        <v>40</v>
      </c>
      <c r="AV5" s="70">
        <f t="shared" si="8"/>
        <v>40</v>
      </c>
      <c r="AX5" s="70">
        <f t="shared" si="2"/>
        <v>40</v>
      </c>
      <c r="AY5" s="70">
        <f t="shared" si="9"/>
        <v>40</v>
      </c>
      <c r="BA5" s="70">
        <f t="shared" si="3"/>
        <v>40</v>
      </c>
      <c r="BB5" s="70">
        <f t="shared" si="10"/>
        <v>40</v>
      </c>
      <c r="BC5" s="73"/>
      <c r="BD5" s="269">
        <f t="shared" si="11"/>
        <v>40</v>
      </c>
      <c r="BE5" s="70">
        <f t="shared" si="12"/>
        <v>40</v>
      </c>
      <c r="BG5" s="70">
        <f t="shared" si="4"/>
        <v>40</v>
      </c>
      <c r="BH5" s="70">
        <f t="shared" si="13"/>
        <v>40</v>
      </c>
      <c r="BJ5" s="70">
        <f t="shared" si="5"/>
        <v>40</v>
      </c>
      <c r="BK5" s="70">
        <f t="shared" si="14"/>
        <v>40</v>
      </c>
      <c r="BM5" s="70">
        <f t="shared" si="6"/>
        <v>40</v>
      </c>
      <c r="BN5" s="70">
        <f t="shared" si="15"/>
        <v>40</v>
      </c>
      <c r="BO5" s="73"/>
      <c r="BR5" s="135"/>
      <c r="BS5" s="135"/>
      <c r="BT5" s="135"/>
      <c r="BU5" s="135"/>
      <c r="BV5" s="135"/>
      <c r="BW5" s="135"/>
      <c r="BX5" s="135"/>
      <c r="BY5" s="135"/>
      <c r="BZ5" s="135"/>
      <c r="CA5" s="135"/>
      <c r="CB5" s="135"/>
      <c r="CC5" s="135"/>
      <c r="CD5" s="135"/>
      <c r="CE5" s="135"/>
      <c r="CF5" s="135"/>
      <c r="CG5" s="135"/>
    </row>
    <row r="6" spans="1:85" ht="24" customHeight="1">
      <c r="A6" s="116"/>
      <c r="B6" s="552" t="s">
        <v>1015</v>
      </c>
      <c r="C6" s="412"/>
      <c r="D6" s="412"/>
      <c r="E6" s="412"/>
      <c r="F6" s="412"/>
      <c r="G6" s="412"/>
      <c r="H6" s="412"/>
      <c r="I6" s="412"/>
      <c r="J6" s="412"/>
      <c r="K6" s="412"/>
      <c r="L6" s="412"/>
      <c r="M6" s="412"/>
      <c r="N6" s="412"/>
      <c r="O6" s="412"/>
      <c r="AA6" s="70" t="str">
        <f>Z4</f>
        <v/>
      </c>
      <c r="AB6" s="70" t="e">
        <f>Y4</f>
        <v>#VALUE!</v>
      </c>
      <c r="AC6" s="70" t="str">
        <f>IF(C42=0,"",C42&amp;"T"&amp;D42)</f>
        <v/>
      </c>
      <c r="AD6" s="70">
        <f>AX2</f>
        <v>40</v>
      </c>
      <c r="AE6" s="70">
        <f>AD6</f>
        <v>40</v>
      </c>
      <c r="AH6" s="70" t="str">
        <f>IF(C46=0,"",C46&amp;"T"&amp;D46)</f>
        <v/>
      </c>
      <c r="AI6" s="70">
        <f>BJ2</f>
        <v>40</v>
      </c>
      <c r="AJ6" s="70">
        <f>AI6</f>
        <v>40</v>
      </c>
      <c r="AK6" s="74">
        <v>0</v>
      </c>
      <c r="AL6" s="70">
        <f>G16</f>
        <v>40</v>
      </c>
      <c r="AM6" s="70">
        <f>MAX(BD16,BG16,BJ16,BM16)</f>
        <v>40</v>
      </c>
      <c r="AN6" s="73">
        <f>$AC$15</f>
        <v>960</v>
      </c>
      <c r="AR6" s="269">
        <f t="shared" si="0"/>
        <v>40</v>
      </c>
      <c r="AS6" s="70">
        <f t="shared" si="7"/>
        <v>40</v>
      </c>
      <c r="AU6" s="70">
        <f t="shared" si="1"/>
        <v>40</v>
      </c>
      <c r="AV6" s="70">
        <f t="shared" si="8"/>
        <v>40</v>
      </c>
      <c r="AX6" s="70">
        <f t="shared" si="2"/>
        <v>40</v>
      </c>
      <c r="AY6" s="70">
        <f t="shared" si="9"/>
        <v>40</v>
      </c>
      <c r="BA6" s="70">
        <f t="shared" si="3"/>
        <v>40</v>
      </c>
      <c r="BB6" s="70">
        <f t="shared" si="10"/>
        <v>40</v>
      </c>
      <c r="BC6" s="73"/>
      <c r="BD6" s="269">
        <f t="shared" si="11"/>
        <v>40</v>
      </c>
      <c r="BE6" s="70">
        <f t="shared" si="12"/>
        <v>40</v>
      </c>
      <c r="BG6" s="70">
        <f t="shared" si="4"/>
        <v>40</v>
      </c>
      <c r="BH6" s="70">
        <f t="shared" si="13"/>
        <v>40</v>
      </c>
      <c r="BJ6" s="70">
        <f t="shared" si="5"/>
        <v>40</v>
      </c>
      <c r="BK6" s="70">
        <f t="shared" si="14"/>
        <v>40</v>
      </c>
      <c r="BM6" s="70">
        <f t="shared" si="6"/>
        <v>40</v>
      </c>
      <c r="BN6" s="70">
        <f t="shared" si="15"/>
        <v>40</v>
      </c>
      <c r="BO6" s="73"/>
      <c r="BR6" s="135"/>
      <c r="BS6" s="135"/>
      <c r="BT6" s="135"/>
      <c r="BU6" s="135"/>
      <c r="BV6" s="135"/>
      <c r="BW6" s="135"/>
      <c r="BX6" s="135"/>
      <c r="BY6" s="135"/>
      <c r="BZ6" s="135"/>
      <c r="CA6" s="135"/>
      <c r="CB6" s="135"/>
      <c r="CC6" s="135"/>
      <c r="CD6" s="135"/>
      <c r="CE6" s="135"/>
      <c r="CF6" s="135"/>
      <c r="CG6" s="135"/>
    </row>
    <row r="7" spans="1:85" ht="7.95" customHeight="1">
      <c r="A7" s="116"/>
      <c r="B7" s="138"/>
      <c r="C7" s="138"/>
      <c r="D7" s="138"/>
      <c r="E7" s="138"/>
      <c r="F7" s="138"/>
      <c r="G7" s="138"/>
      <c r="H7" s="138"/>
      <c r="I7" s="138"/>
      <c r="J7" s="138"/>
      <c r="K7" s="138"/>
      <c r="L7" s="138"/>
      <c r="M7" s="138"/>
      <c r="N7" s="138"/>
      <c r="O7" s="116"/>
      <c r="AA7" s="70" t="str">
        <f>Z4</f>
        <v/>
      </c>
      <c r="AB7" s="70">
        <v>0</v>
      </c>
      <c r="AC7" s="70" t="str">
        <f>IF(C43=0,"",C43&amp;"T"&amp;D43)</f>
        <v/>
      </c>
      <c r="AD7" s="70">
        <f>BA2</f>
        <v>40</v>
      </c>
      <c r="AE7" s="70">
        <f>AD7</f>
        <v>40</v>
      </c>
      <c r="AH7" s="70" t="str">
        <f>IF(C47=0,"",C47&amp;"T"&amp;D47)</f>
        <v/>
      </c>
      <c r="AI7" s="70">
        <f>BM2</f>
        <v>40</v>
      </c>
      <c r="AJ7" s="70">
        <f>AI7</f>
        <v>40</v>
      </c>
      <c r="AK7" s="74">
        <v>1</v>
      </c>
      <c r="AL7" s="70">
        <f>AL6</f>
        <v>40</v>
      </c>
      <c r="AM7" s="70" t="e">
        <f t="shared" ref="AM7:AM16" si="16">IF($AL$3="",$AM$6,IF(AM6+$AL$3&gt;$AM$2,$AM$6,AM6+$AL$3))</f>
        <v>#VALUE!</v>
      </c>
      <c r="AN7" s="73">
        <f t="shared" ref="AN7:AN16" si="17">$AC$15</f>
        <v>960</v>
      </c>
      <c r="AR7" s="269">
        <f t="shared" si="0"/>
        <v>40</v>
      </c>
      <c r="AS7" s="70">
        <f t="shared" si="7"/>
        <v>40</v>
      </c>
      <c r="AU7" s="70">
        <f t="shared" si="1"/>
        <v>40</v>
      </c>
      <c r="AV7" s="70">
        <f t="shared" si="8"/>
        <v>40</v>
      </c>
      <c r="AX7" s="70">
        <f t="shared" si="2"/>
        <v>40</v>
      </c>
      <c r="AY7" s="70">
        <f t="shared" si="9"/>
        <v>40</v>
      </c>
      <c r="BA7" s="70">
        <f t="shared" si="3"/>
        <v>40</v>
      </c>
      <c r="BB7" s="70">
        <f t="shared" si="10"/>
        <v>40</v>
      </c>
      <c r="BC7" s="73"/>
      <c r="BD7" s="269">
        <f t="shared" si="11"/>
        <v>40</v>
      </c>
      <c r="BE7" s="70">
        <f t="shared" si="12"/>
        <v>40</v>
      </c>
      <c r="BG7" s="70">
        <f t="shared" si="4"/>
        <v>40</v>
      </c>
      <c r="BH7" s="70">
        <f t="shared" si="13"/>
        <v>40</v>
      </c>
      <c r="BJ7" s="70">
        <f t="shared" si="5"/>
        <v>40</v>
      </c>
      <c r="BK7" s="70">
        <f t="shared" si="14"/>
        <v>40</v>
      </c>
      <c r="BM7" s="70">
        <f t="shared" si="6"/>
        <v>40</v>
      </c>
      <c r="BN7" s="70">
        <f t="shared" si="15"/>
        <v>40</v>
      </c>
      <c r="BO7" s="73"/>
      <c r="BR7" s="135"/>
      <c r="BS7" s="135"/>
      <c r="BT7" s="135"/>
      <c r="BU7" s="135"/>
      <c r="BV7" s="135"/>
      <c r="BW7" s="135"/>
      <c r="BX7" s="135"/>
      <c r="BY7" s="135"/>
      <c r="BZ7" s="135"/>
      <c r="CA7" s="135"/>
      <c r="CB7" s="135"/>
      <c r="CC7" s="135"/>
      <c r="CD7" s="135"/>
      <c r="CE7" s="135"/>
      <c r="CF7" s="135"/>
      <c r="CG7" s="135"/>
    </row>
    <row r="8" spans="1:85" s="76" customFormat="1" ht="19.5" customHeight="1">
      <c r="A8" s="132"/>
      <c r="B8"/>
      <c r="C8"/>
      <c r="D8"/>
      <c r="E8"/>
      <c r="F8"/>
      <c r="G8"/>
      <c r="H8"/>
      <c r="I8"/>
      <c r="J8"/>
      <c r="K8"/>
      <c r="L8"/>
      <c r="M8"/>
      <c r="N8"/>
      <c r="O8" s="132"/>
      <c r="R8" s="71"/>
      <c r="S8" s="77" t="s">
        <v>566</v>
      </c>
      <c r="T8" s="272">
        <v>40</v>
      </c>
      <c r="Y8" s="70"/>
      <c r="Z8" s="70"/>
      <c r="AA8" s="70">
        <v>0</v>
      </c>
      <c r="AB8" s="70">
        <v>0</v>
      </c>
      <c r="AC8" s="70"/>
      <c r="AD8" s="70"/>
      <c r="AE8" s="70"/>
      <c r="AF8" s="70"/>
      <c r="AG8" s="70"/>
      <c r="AH8" s="70"/>
      <c r="AI8" s="70"/>
      <c r="AJ8" s="70"/>
      <c r="AK8" s="74">
        <v>2</v>
      </c>
      <c r="AL8" s="70">
        <f t="shared" ref="AL8:AL16" si="18">AL7</f>
        <v>40</v>
      </c>
      <c r="AM8" s="70" t="e">
        <f t="shared" si="16"/>
        <v>#VALUE!</v>
      </c>
      <c r="AN8" s="73">
        <f t="shared" si="17"/>
        <v>960</v>
      </c>
      <c r="AO8" s="70"/>
      <c r="AR8" s="269">
        <f t="shared" si="0"/>
        <v>40</v>
      </c>
      <c r="AS8" s="70">
        <f t="shared" si="7"/>
        <v>40</v>
      </c>
      <c r="AT8" s="70"/>
      <c r="AU8" s="70">
        <f t="shared" si="1"/>
        <v>40</v>
      </c>
      <c r="AV8" s="70">
        <f t="shared" si="8"/>
        <v>40</v>
      </c>
      <c r="AW8" s="70"/>
      <c r="AX8" s="70">
        <f t="shared" si="2"/>
        <v>40</v>
      </c>
      <c r="AY8" s="70">
        <f t="shared" si="9"/>
        <v>40</v>
      </c>
      <c r="AZ8" s="70"/>
      <c r="BA8" s="70">
        <f t="shared" si="3"/>
        <v>40</v>
      </c>
      <c r="BB8" s="70">
        <f t="shared" si="10"/>
        <v>40</v>
      </c>
      <c r="BC8" s="73"/>
      <c r="BD8" s="269">
        <f t="shared" si="11"/>
        <v>40</v>
      </c>
      <c r="BE8" s="70">
        <f t="shared" si="12"/>
        <v>40</v>
      </c>
      <c r="BF8" s="70"/>
      <c r="BG8" s="70">
        <f t="shared" si="4"/>
        <v>40</v>
      </c>
      <c r="BH8" s="70">
        <f t="shared" si="13"/>
        <v>40</v>
      </c>
      <c r="BI8" s="70"/>
      <c r="BJ8" s="70">
        <f t="shared" si="5"/>
        <v>40</v>
      </c>
      <c r="BK8" s="70">
        <f t="shared" si="14"/>
        <v>40</v>
      </c>
      <c r="BL8" s="70"/>
      <c r="BM8" s="70">
        <f t="shared" si="6"/>
        <v>40</v>
      </c>
      <c r="BN8" s="70">
        <f t="shared" si="15"/>
        <v>40</v>
      </c>
      <c r="BO8" s="73"/>
      <c r="BP8" s="70"/>
      <c r="BQ8" s="70"/>
      <c r="BR8" s="136"/>
      <c r="BS8" s="136"/>
      <c r="BT8" s="136"/>
      <c r="BU8" s="136"/>
      <c r="BV8" s="136"/>
      <c r="BW8" s="136"/>
      <c r="BX8" s="136"/>
      <c r="BY8" s="136"/>
      <c r="BZ8" s="136"/>
      <c r="CA8" s="136"/>
      <c r="CB8" s="136"/>
      <c r="CC8" s="136"/>
      <c r="CD8" s="136"/>
      <c r="CE8" s="136"/>
      <c r="CF8" s="136"/>
      <c r="CG8" s="136"/>
    </row>
    <row r="9" spans="1:85" s="76" customFormat="1" ht="19.5" customHeight="1">
      <c r="A9" s="132"/>
      <c r="B9" s="271" t="s">
        <v>567</v>
      </c>
      <c r="C9" s="313" t="str">
        <f>'_TB Analysis'!C6</f>
        <v/>
      </c>
      <c r="D9" s="111"/>
      <c r="E9" s="111"/>
      <c r="F9" s="111"/>
      <c r="G9" s="111"/>
      <c r="H9" s="111"/>
      <c r="I9" s="111"/>
      <c r="J9" s="494" t="s">
        <v>530</v>
      </c>
      <c r="K9" s="505"/>
      <c r="L9" s="134">
        <v>6</v>
      </c>
      <c r="M9" s="111"/>
      <c r="N9" s="111"/>
      <c r="O9" s="132"/>
      <c r="R9" s="71"/>
      <c r="S9" s="77" t="s">
        <v>568</v>
      </c>
      <c r="T9" s="273">
        <v>250</v>
      </c>
      <c r="AK9" s="74">
        <v>3</v>
      </c>
      <c r="AL9" s="70">
        <f t="shared" si="18"/>
        <v>40</v>
      </c>
      <c r="AM9" s="70" t="e">
        <f t="shared" si="16"/>
        <v>#VALUE!</v>
      </c>
      <c r="AN9" s="73">
        <f t="shared" si="17"/>
        <v>960</v>
      </c>
      <c r="AO9" s="70"/>
      <c r="AR9" s="269">
        <f t="shared" si="0"/>
        <v>40</v>
      </c>
      <c r="AS9" s="70">
        <f t="shared" si="7"/>
        <v>40</v>
      </c>
      <c r="AT9" s="70"/>
      <c r="AU9" s="70">
        <f t="shared" si="1"/>
        <v>40</v>
      </c>
      <c r="AV9" s="70">
        <f t="shared" si="8"/>
        <v>40</v>
      </c>
      <c r="AW9" s="70"/>
      <c r="AX9" s="70">
        <f t="shared" si="2"/>
        <v>40</v>
      </c>
      <c r="AY9" s="70">
        <f t="shared" si="9"/>
        <v>40</v>
      </c>
      <c r="AZ9" s="70"/>
      <c r="BA9" s="70">
        <f t="shared" si="3"/>
        <v>40</v>
      </c>
      <c r="BB9" s="70">
        <f t="shared" si="10"/>
        <v>40</v>
      </c>
      <c r="BC9" s="73"/>
      <c r="BD9" s="269">
        <f t="shared" si="11"/>
        <v>40</v>
      </c>
      <c r="BE9" s="70">
        <f t="shared" si="12"/>
        <v>40</v>
      </c>
      <c r="BF9" s="70"/>
      <c r="BG9" s="70">
        <f t="shared" si="4"/>
        <v>40</v>
      </c>
      <c r="BH9" s="70">
        <f t="shared" si="13"/>
        <v>40</v>
      </c>
      <c r="BI9" s="70"/>
      <c r="BJ9" s="70">
        <f t="shared" si="5"/>
        <v>40</v>
      </c>
      <c r="BK9" s="70">
        <f t="shared" si="14"/>
        <v>40</v>
      </c>
      <c r="BL9" s="70"/>
      <c r="BM9" s="70">
        <f t="shared" si="6"/>
        <v>40</v>
      </c>
      <c r="BN9" s="70">
        <f t="shared" si="15"/>
        <v>40</v>
      </c>
      <c r="BO9" s="73"/>
      <c r="BP9" s="70"/>
      <c r="BQ9" s="70"/>
      <c r="BR9" s="485" t="s">
        <v>994</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S10" s="77" t="s">
        <v>569</v>
      </c>
      <c r="T10" s="273">
        <v>150</v>
      </c>
      <c r="AE10" s="70">
        <f>AF10</f>
        <v>80</v>
      </c>
      <c r="AF10" s="70">
        <f>2*G16</f>
        <v>80</v>
      </c>
      <c r="AK10" s="74">
        <v>4</v>
      </c>
      <c r="AL10" s="70">
        <f t="shared" si="18"/>
        <v>40</v>
      </c>
      <c r="AM10" s="70" t="e">
        <f t="shared" si="16"/>
        <v>#VALUE!</v>
      </c>
      <c r="AN10" s="73">
        <f t="shared" si="17"/>
        <v>960</v>
      </c>
      <c r="AR10" s="269">
        <f t="shared" si="0"/>
        <v>40</v>
      </c>
      <c r="AS10" s="70">
        <f t="shared" si="7"/>
        <v>40</v>
      </c>
      <c r="AU10" s="70">
        <f t="shared" si="1"/>
        <v>40</v>
      </c>
      <c r="AV10" s="70">
        <f t="shared" si="8"/>
        <v>40</v>
      </c>
      <c r="AX10" s="70">
        <f t="shared" si="2"/>
        <v>40</v>
      </c>
      <c r="AY10" s="70">
        <f t="shared" si="9"/>
        <v>40</v>
      </c>
      <c r="BA10" s="70">
        <f t="shared" si="3"/>
        <v>40</v>
      </c>
      <c r="BB10" s="70">
        <f t="shared" si="10"/>
        <v>40</v>
      </c>
      <c r="BC10" s="73"/>
      <c r="BD10" s="269">
        <f t="shared" si="11"/>
        <v>40</v>
      </c>
      <c r="BE10" s="70">
        <f t="shared" si="12"/>
        <v>40</v>
      </c>
      <c r="BG10" s="70">
        <f t="shared" si="4"/>
        <v>40</v>
      </c>
      <c r="BH10" s="70">
        <f t="shared" si="13"/>
        <v>40</v>
      </c>
      <c r="BJ10" s="70">
        <f t="shared" si="5"/>
        <v>40</v>
      </c>
      <c r="BK10" s="70">
        <f t="shared" si="14"/>
        <v>40</v>
      </c>
      <c r="BM10" s="70">
        <f t="shared" si="6"/>
        <v>40</v>
      </c>
      <c r="BN10" s="70">
        <f t="shared" si="15"/>
        <v>40</v>
      </c>
      <c r="BO10" s="73"/>
      <c r="BR10" s="485"/>
      <c r="BS10" s="485"/>
      <c r="BT10" s="485"/>
      <c r="BU10" s="485"/>
      <c r="BV10" s="485"/>
      <c r="BW10" s="485"/>
      <c r="BX10" s="485"/>
      <c r="BY10" s="485"/>
      <c r="BZ10" s="485"/>
      <c r="CA10" s="485"/>
      <c r="CB10" s="485"/>
      <c r="CC10" s="485"/>
      <c r="CD10" s="485"/>
      <c r="CE10" s="485"/>
      <c r="CF10" s="485"/>
      <c r="CG10" s="485"/>
    </row>
    <row r="11" spans="1:85" ht="25.05" customHeight="1">
      <c r="A11" s="116"/>
      <c r="B11" s="521" t="s">
        <v>948</v>
      </c>
      <c r="C11" s="521"/>
      <c r="D11" s="521"/>
      <c r="E11" s="521"/>
      <c r="F11" s="521"/>
      <c r="G11" s="521"/>
      <c r="H11" s="521"/>
      <c r="I11" s="521"/>
      <c r="J11" s="521"/>
      <c r="K11" s="521"/>
      <c r="L11" s="521"/>
      <c r="M11" s="521"/>
      <c r="N11" s="521"/>
      <c r="O11" s="141"/>
      <c r="S11" s="77" t="s">
        <v>570</v>
      </c>
      <c r="T11" s="273">
        <v>4</v>
      </c>
      <c r="AE11" s="70">
        <f>AF10</f>
        <v>80</v>
      </c>
      <c r="AK11" s="74">
        <v>5</v>
      </c>
      <c r="AL11" s="70">
        <f t="shared" si="18"/>
        <v>40</v>
      </c>
      <c r="AM11" s="70" t="e">
        <f t="shared" si="16"/>
        <v>#VALUE!</v>
      </c>
      <c r="AN11" s="73">
        <f t="shared" si="17"/>
        <v>960</v>
      </c>
      <c r="AR11" s="269">
        <f t="shared" si="0"/>
        <v>40</v>
      </c>
      <c r="AS11" s="70">
        <f t="shared" si="7"/>
        <v>40</v>
      </c>
      <c r="AU11" s="70">
        <f t="shared" si="1"/>
        <v>40</v>
      </c>
      <c r="AV11" s="70">
        <f t="shared" si="8"/>
        <v>40</v>
      </c>
      <c r="AX11" s="70">
        <f t="shared" si="2"/>
        <v>40</v>
      </c>
      <c r="AY11" s="70">
        <f t="shared" si="9"/>
        <v>40</v>
      </c>
      <c r="BA11" s="70">
        <f t="shared" si="3"/>
        <v>40</v>
      </c>
      <c r="BB11" s="70">
        <f t="shared" si="10"/>
        <v>40</v>
      </c>
      <c r="BC11" s="73"/>
      <c r="BD11" s="269">
        <f t="shared" si="11"/>
        <v>40</v>
      </c>
      <c r="BE11" s="70">
        <f t="shared" si="12"/>
        <v>40</v>
      </c>
      <c r="BG11" s="70">
        <f t="shared" si="4"/>
        <v>40</v>
      </c>
      <c r="BH11" s="70">
        <f t="shared" si="13"/>
        <v>40</v>
      </c>
      <c r="BJ11" s="70">
        <f t="shared" si="5"/>
        <v>40</v>
      </c>
      <c r="BK11" s="70">
        <f t="shared" si="14"/>
        <v>40</v>
      </c>
      <c r="BM11" s="70">
        <f t="shared" si="6"/>
        <v>40</v>
      </c>
      <c r="BN11" s="70">
        <f t="shared" si="15"/>
        <v>40</v>
      </c>
      <c r="BO11" s="73"/>
      <c r="BR11" s="486" t="s">
        <v>995</v>
      </c>
      <c r="BS11" s="573"/>
      <c r="BT11" s="573"/>
      <c r="BU11" s="573"/>
      <c r="BV11" s="573"/>
      <c r="BW11" s="573"/>
      <c r="BX11" s="486" t="s">
        <v>996</v>
      </c>
      <c r="BY11" s="573"/>
      <c r="BZ11" s="573"/>
      <c r="CA11" s="573"/>
      <c r="CB11" s="573"/>
      <c r="CC11" s="573"/>
      <c r="CD11" s="573"/>
      <c r="CE11" s="573"/>
      <c r="CF11" s="573"/>
      <c r="CG11" s="573"/>
    </row>
    <row r="12" spans="1:85" ht="19.5" customHeight="1">
      <c r="A12" s="116"/>
      <c r="B12" s="271" t="s">
        <v>571</v>
      </c>
      <c r="C12" s="116"/>
      <c r="D12" s="116"/>
      <c r="E12" s="274" t="s">
        <v>572</v>
      </c>
      <c r="F12" s="274" t="s">
        <v>573</v>
      </c>
      <c r="G12" s="299" t="str">
        <f>'_TB Analysis'!C7</f>
        <v/>
      </c>
      <c r="H12" s="271" t="s">
        <v>574</v>
      </c>
      <c r="I12" s="116"/>
      <c r="J12" s="116"/>
      <c r="K12" s="116"/>
      <c r="L12" s="116"/>
      <c r="M12" s="116"/>
      <c r="N12" s="116"/>
      <c r="O12" s="116"/>
      <c r="AK12" s="74">
        <v>6</v>
      </c>
      <c r="AL12" s="70">
        <f t="shared" si="18"/>
        <v>40</v>
      </c>
      <c r="AM12" s="70" t="e">
        <f t="shared" si="16"/>
        <v>#VALUE!</v>
      </c>
      <c r="AN12" s="73">
        <f t="shared" si="17"/>
        <v>960</v>
      </c>
      <c r="AR12" s="269">
        <f t="shared" si="0"/>
        <v>40</v>
      </c>
      <c r="AS12" s="70">
        <f t="shared" si="7"/>
        <v>40</v>
      </c>
      <c r="AU12" s="70">
        <f t="shared" si="1"/>
        <v>40</v>
      </c>
      <c r="AV12" s="70">
        <f t="shared" si="8"/>
        <v>40</v>
      </c>
      <c r="AX12" s="70">
        <f t="shared" si="2"/>
        <v>40</v>
      </c>
      <c r="AY12" s="70">
        <f t="shared" si="9"/>
        <v>40</v>
      </c>
      <c r="BA12" s="70">
        <f t="shared" si="3"/>
        <v>40</v>
      </c>
      <c r="BB12" s="70">
        <f t="shared" si="10"/>
        <v>40</v>
      </c>
      <c r="BC12" s="73"/>
      <c r="BD12" s="269">
        <f t="shared" si="11"/>
        <v>40</v>
      </c>
      <c r="BE12" s="70">
        <f t="shared" si="12"/>
        <v>40</v>
      </c>
      <c r="BG12" s="70">
        <f t="shared" si="4"/>
        <v>40</v>
      </c>
      <c r="BH12" s="70">
        <f t="shared" si="13"/>
        <v>40</v>
      </c>
      <c r="BJ12" s="70">
        <f t="shared" si="5"/>
        <v>40</v>
      </c>
      <c r="BK12" s="70">
        <f t="shared" si="14"/>
        <v>40</v>
      </c>
      <c r="BM12" s="70">
        <f t="shared" si="6"/>
        <v>40</v>
      </c>
      <c r="BN12" s="70">
        <f t="shared" si="15"/>
        <v>40</v>
      </c>
      <c r="BO12" s="73"/>
      <c r="BR12" s="135"/>
      <c r="BS12" s="135"/>
      <c r="BT12" s="135"/>
      <c r="BU12" s="135"/>
      <c r="BV12" s="135"/>
      <c r="BW12" s="135"/>
      <c r="BX12" s="135"/>
      <c r="BY12" s="135"/>
      <c r="BZ12" s="135"/>
      <c r="CA12" s="135"/>
      <c r="CB12" s="135"/>
      <c r="CC12" s="135"/>
      <c r="CD12" s="135"/>
      <c r="CE12" s="135"/>
      <c r="CF12" s="135"/>
      <c r="CG12" s="135"/>
    </row>
    <row r="13" spans="1:85" ht="19.5" customHeight="1">
      <c r="A13" s="116"/>
      <c r="B13" s="271" t="s">
        <v>575</v>
      </c>
      <c r="C13" s="116"/>
      <c r="D13" s="116"/>
      <c r="E13" s="274" t="s">
        <v>576</v>
      </c>
      <c r="F13" s="274" t="s">
        <v>573</v>
      </c>
      <c r="G13" s="314"/>
      <c r="H13" s="271" t="s">
        <v>574</v>
      </c>
      <c r="I13" s="116"/>
      <c r="J13" s="116"/>
      <c r="K13" s="116"/>
      <c r="L13" s="116"/>
      <c r="M13" s="116"/>
      <c r="N13" s="116"/>
      <c r="O13" s="116"/>
      <c r="P13" s="70">
        <v>10</v>
      </c>
      <c r="Q13" s="70">
        <f>MIN($T$8,P13)</f>
        <v>10</v>
      </c>
      <c r="S13" s="70" t="s">
        <v>530</v>
      </c>
      <c r="T13" s="70">
        <v>6</v>
      </c>
      <c r="Y13" s="70">
        <v>0</v>
      </c>
      <c r="Z13" s="70">
        <v>0</v>
      </c>
      <c r="AA13" s="70">
        <v>0</v>
      </c>
      <c r="AB13" s="70">
        <v>0</v>
      </c>
      <c r="AC13" s="70">
        <f>IF(Y13=0,$G$16,Y13-$G$16)</f>
        <v>40</v>
      </c>
      <c r="AD13" s="70">
        <f>IF(Z13=0,$G$16,Z13-$G$16)</f>
        <v>40</v>
      </c>
      <c r="AE13" s="70">
        <f>IF(AC13=$G$16,AC13-$AE$11,AC13+$AE$11)</f>
        <v>-40</v>
      </c>
      <c r="AF13" s="70">
        <f>IF(AD13=$G$16,AD13-$AE$11,AD13+$AE$10)</f>
        <v>-40</v>
      </c>
      <c r="AK13" s="74">
        <v>7</v>
      </c>
      <c r="AL13" s="70">
        <f t="shared" si="18"/>
        <v>40</v>
      </c>
      <c r="AM13" s="70" t="e">
        <f t="shared" si="16"/>
        <v>#VALUE!</v>
      </c>
      <c r="AN13" s="73">
        <f t="shared" si="17"/>
        <v>960</v>
      </c>
      <c r="AR13" s="269">
        <f t="shared" si="0"/>
        <v>40</v>
      </c>
      <c r="AS13" s="70">
        <f t="shared" si="7"/>
        <v>40</v>
      </c>
      <c r="AU13" s="70">
        <f t="shared" si="1"/>
        <v>40</v>
      </c>
      <c r="AV13" s="70">
        <f t="shared" si="8"/>
        <v>40</v>
      </c>
      <c r="AX13" s="70">
        <f t="shared" si="2"/>
        <v>40</v>
      </c>
      <c r="AY13" s="70">
        <f t="shared" si="9"/>
        <v>40</v>
      </c>
      <c r="BA13" s="70">
        <f t="shared" si="3"/>
        <v>40</v>
      </c>
      <c r="BB13" s="70">
        <f t="shared" si="10"/>
        <v>40</v>
      </c>
      <c r="BC13" s="73"/>
      <c r="BD13" s="269">
        <f t="shared" si="11"/>
        <v>40</v>
      </c>
      <c r="BE13" s="70">
        <f t="shared" si="12"/>
        <v>40</v>
      </c>
      <c r="BG13" s="70">
        <f t="shared" si="4"/>
        <v>40</v>
      </c>
      <c r="BH13" s="70">
        <f t="shared" si="13"/>
        <v>40</v>
      </c>
      <c r="BJ13" s="70">
        <f t="shared" si="5"/>
        <v>40</v>
      </c>
      <c r="BK13" s="70">
        <f t="shared" si="14"/>
        <v>40</v>
      </c>
      <c r="BM13" s="70">
        <f t="shared" si="6"/>
        <v>40</v>
      </c>
      <c r="BN13" s="70">
        <f t="shared" si="15"/>
        <v>40</v>
      </c>
      <c r="BO13" s="73"/>
      <c r="BR13" s="135"/>
      <c r="BS13" s="135"/>
      <c r="BT13" s="135"/>
      <c r="BU13" s="135"/>
      <c r="BV13" s="135"/>
      <c r="BW13" s="135"/>
      <c r="BX13" s="135"/>
      <c r="BY13" s="135"/>
      <c r="BZ13" s="135"/>
      <c r="CA13" s="135"/>
      <c r="CB13" s="135"/>
      <c r="CC13" s="135"/>
      <c r="CD13" s="135"/>
      <c r="CE13" s="135"/>
      <c r="CF13" s="135"/>
      <c r="CG13" s="135"/>
    </row>
    <row r="14" spans="1:85" ht="19.5" customHeight="1">
      <c r="A14" s="116"/>
      <c r="B14" s="271" t="s">
        <v>577</v>
      </c>
      <c r="C14" s="116"/>
      <c r="D14" s="116"/>
      <c r="E14" s="274" t="s">
        <v>578</v>
      </c>
      <c r="F14" s="274" t="s">
        <v>573</v>
      </c>
      <c r="G14" s="265">
        <f>'_TB Analysis'!C8</f>
        <v>1000</v>
      </c>
      <c r="H14" s="271" t="s">
        <v>579</v>
      </c>
      <c r="I14" s="116"/>
      <c r="J14" s="116"/>
      <c r="K14" s="116"/>
      <c r="L14" s="116"/>
      <c r="M14" s="116"/>
      <c r="N14" s="116"/>
      <c r="O14" s="116"/>
      <c r="P14" s="70">
        <v>12</v>
      </c>
      <c r="Q14" s="70">
        <f t="shared" ref="Q14:Q19" si="19">MIN($T$8,P14)</f>
        <v>12</v>
      </c>
      <c r="Y14" s="70">
        <v>0</v>
      </c>
      <c r="Z14" s="70" t="str">
        <f>G15</f>
        <v/>
      </c>
      <c r="AA14" s="70">
        <v>0</v>
      </c>
      <c r="AB14" s="70">
        <f>AA15</f>
        <v>1000</v>
      </c>
      <c r="AC14" s="70">
        <f t="shared" ref="AC14:AD17" si="20">IF(Y14=0,$G$16,Y14-$G$16)</f>
        <v>40</v>
      </c>
      <c r="AD14" s="70" t="e">
        <f t="shared" si="20"/>
        <v>#VALUE!</v>
      </c>
      <c r="AE14" s="70">
        <f>IF(AC14=$G$16,AC14-$AE$11,AC14+$AE$11)</f>
        <v>-40</v>
      </c>
      <c r="AF14" s="70" t="e">
        <f>IF(AD14=$G$16,AD14-$AE$11,AD14+$AE$10)</f>
        <v>#VALUE!</v>
      </c>
      <c r="AK14" s="74">
        <v>8</v>
      </c>
      <c r="AL14" s="70">
        <f t="shared" si="18"/>
        <v>40</v>
      </c>
      <c r="AM14" s="70" t="e">
        <f t="shared" si="16"/>
        <v>#VALUE!</v>
      </c>
      <c r="AN14" s="73">
        <f t="shared" si="17"/>
        <v>960</v>
      </c>
      <c r="AR14" s="269">
        <f t="shared" si="0"/>
        <v>40</v>
      </c>
      <c r="AS14" s="70">
        <f t="shared" si="7"/>
        <v>40</v>
      </c>
      <c r="AU14" s="70">
        <f t="shared" si="1"/>
        <v>40</v>
      </c>
      <c r="AV14" s="70">
        <f t="shared" si="8"/>
        <v>40</v>
      </c>
      <c r="AX14" s="70">
        <f t="shared" si="2"/>
        <v>40</v>
      </c>
      <c r="AY14" s="70">
        <f t="shared" si="9"/>
        <v>40</v>
      </c>
      <c r="BA14" s="70">
        <f t="shared" si="3"/>
        <v>40</v>
      </c>
      <c r="BB14" s="70">
        <f t="shared" si="10"/>
        <v>40</v>
      </c>
      <c r="BC14" s="73"/>
      <c r="BD14" s="269">
        <f t="shared" si="11"/>
        <v>40</v>
      </c>
      <c r="BE14" s="70">
        <f t="shared" si="12"/>
        <v>40</v>
      </c>
      <c r="BG14" s="70">
        <f t="shared" si="4"/>
        <v>40</v>
      </c>
      <c r="BH14" s="70">
        <f t="shared" si="13"/>
        <v>40</v>
      </c>
      <c r="BJ14" s="70">
        <f t="shared" si="5"/>
        <v>40</v>
      </c>
      <c r="BK14" s="70">
        <f t="shared" si="14"/>
        <v>40</v>
      </c>
      <c r="BM14" s="70">
        <f t="shared" si="6"/>
        <v>40</v>
      </c>
      <c r="BN14" s="70">
        <f t="shared" si="15"/>
        <v>40</v>
      </c>
      <c r="BO14" s="73"/>
      <c r="BR14" s="135"/>
      <c r="BS14" s="135"/>
      <c r="BT14" s="135"/>
      <c r="BU14" s="135"/>
      <c r="BV14" s="135"/>
      <c r="BW14" s="135"/>
      <c r="BX14" s="135"/>
      <c r="BY14" s="135"/>
      <c r="BZ14" s="135"/>
      <c r="CA14" s="135"/>
      <c r="CB14" s="135"/>
      <c r="CC14" s="135"/>
      <c r="CD14" s="135"/>
      <c r="CE14" s="135"/>
      <c r="CF14" s="135"/>
      <c r="CG14" s="135"/>
    </row>
    <row r="15" spans="1:85" ht="19.5" customHeight="1" thickBot="1">
      <c r="A15" s="116"/>
      <c r="B15" s="271" t="s">
        <v>580</v>
      </c>
      <c r="C15" s="116"/>
      <c r="D15" s="116"/>
      <c r="E15" s="274" t="s">
        <v>581</v>
      </c>
      <c r="F15" s="274" t="s">
        <v>573</v>
      </c>
      <c r="G15" s="265" t="str">
        <f>'_TB Analysis'!C9</f>
        <v/>
      </c>
      <c r="H15" s="271" t="s">
        <v>579</v>
      </c>
      <c r="I15" s="116"/>
      <c r="J15" s="116"/>
      <c r="K15" s="116"/>
      <c r="L15" s="116"/>
      <c r="M15" s="116"/>
      <c r="N15" s="116"/>
      <c r="O15" s="116"/>
      <c r="P15" s="70">
        <v>16</v>
      </c>
      <c r="Q15" s="70">
        <f t="shared" si="19"/>
        <v>16</v>
      </c>
      <c r="Y15" s="70">
        <f>G14</f>
        <v>1000</v>
      </c>
      <c r="Z15" s="70" t="str">
        <f>G15</f>
        <v/>
      </c>
      <c r="AA15" s="70">
        <f>MAX(G14:G15)</f>
        <v>1000</v>
      </c>
      <c r="AB15" s="70">
        <f>AA16</f>
        <v>1000</v>
      </c>
      <c r="AC15" s="70">
        <f t="shared" si="20"/>
        <v>960</v>
      </c>
      <c r="AD15" s="70" t="e">
        <f t="shared" si="20"/>
        <v>#VALUE!</v>
      </c>
      <c r="AE15" s="70">
        <f>IF(AC15=$G$16,AC15-$AE$11,AC15+$AE$11)</f>
        <v>1040</v>
      </c>
      <c r="AF15" s="70" t="e">
        <f>IF(AD15=$G$16,AD15-$AE$11,AD15+$AE$10)</f>
        <v>#VALUE!</v>
      </c>
      <c r="AK15" s="74">
        <v>9</v>
      </c>
      <c r="AL15" s="70">
        <f t="shared" si="18"/>
        <v>40</v>
      </c>
      <c r="AM15" s="70" t="e">
        <f t="shared" si="16"/>
        <v>#VALUE!</v>
      </c>
      <c r="AN15" s="73">
        <f t="shared" si="17"/>
        <v>960</v>
      </c>
      <c r="AR15" s="275">
        <f t="shared" si="0"/>
        <v>40</v>
      </c>
      <c r="AS15" s="75">
        <f t="shared" si="7"/>
        <v>40</v>
      </c>
      <c r="AT15" s="75"/>
      <c r="AU15" s="75">
        <f t="shared" si="1"/>
        <v>40</v>
      </c>
      <c r="AV15" s="75">
        <f t="shared" si="8"/>
        <v>40</v>
      </c>
      <c r="AW15" s="75"/>
      <c r="AX15" s="75">
        <f>IF(AY15&lt;&gt;$G$16,$AU$2,$G$16)</f>
        <v>40</v>
      </c>
      <c r="AY15" s="75">
        <f t="shared" si="9"/>
        <v>40</v>
      </c>
      <c r="AZ15" s="75"/>
      <c r="BA15" s="75">
        <f t="shared" si="3"/>
        <v>40</v>
      </c>
      <c r="BB15" s="75">
        <f t="shared" si="10"/>
        <v>40</v>
      </c>
      <c r="BC15" s="78"/>
      <c r="BD15" s="275">
        <f t="shared" si="11"/>
        <v>40</v>
      </c>
      <c r="BE15" s="75">
        <f t="shared" si="12"/>
        <v>40</v>
      </c>
      <c r="BF15" s="75"/>
      <c r="BG15" s="75">
        <f t="shared" si="4"/>
        <v>40</v>
      </c>
      <c r="BH15" s="75">
        <f t="shared" si="13"/>
        <v>40</v>
      </c>
      <c r="BI15" s="75"/>
      <c r="BJ15" s="75">
        <f t="shared" si="5"/>
        <v>40</v>
      </c>
      <c r="BK15" s="75">
        <f t="shared" si="14"/>
        <v>40</v>
      </c>
      <c r="BL15" s="75"/>
      <c r="BM15" s="75">
        <f t="shared" si="6"/>
        <v>40</v>
      </c>
      <c r="BN15" s="75">
        <f t="shared" si="15"/>
        <v>40</v>
      </c>
      <c r="BO15" s="78"/>
      <c r="BR15" s="135"/>
      <c r="BS15" s="135"/>
      <c r="BT15" s="135"/>
      <c r="BU15" s="135"/>
      <c r="BV15" s="135"/>
      <c r="BW15" s="135"/>
      <c r="BX15" s="135"/>
      <c r="BY15" s="135"/>
      <c r="BZ15" s="135"/>
      <c r="CA15" s="135"/>
      <c r="CB15" s="135"/>
      <c r="CC15" s="135"/>
      <c r="CD15" s="135"/>
      <c r="CE15" s="135"/>
      <c r="CF15" s="135"/>
      <c r="CG15" s="135"/>
    </row>
    <row r="16" spans="1:85" ht="19.5" customHeight="1" thickBot="1">
      <c r="A16" s="116"/>
      <c r="B16" s="271" t="s">
        <v>582</v>
      </c>
      <c r="C16" s="116"/>
      <c r="D16" s="116"/>
      <c r="E16" s="274" t="s">
        <v>583</v>
      </c>
      <c r="F16" s="274" t="s">
        <v>573</v>
      </c>
      <c r="G16" s="303">
        <f>IF('Section B Concrete Cover'!E18="","",'Section B Concrete Cover'!E18)</f>
        <v>40</v>
      </c>
      <c r="H16" s="271" t="s">
        <v>579</v>
      </c>
      <c r="I16" s="116"/>
      <c r="J16" s="116"/>
      <c r="K16" s="116"/>
      <c r="L16" s="116"/>
      <c r="M16" s="116"/>
      <c r="N16" s="116"/>
      <c r="O16" s="116"/>
      <c r="P16" s="70">
        <v>20</v>
      </c>
      <c r="Q16" s="70">
        <f t="shared" si="19"/>
        <v>20</v>
      </c>
      <c r="R16" s="559" t="s">
        <v>739</v>
      </c>
      <c r="S16" s="559"/>
      <c r="T16" s="560" t="s">
        <v>740</v>
      </c>
      <c r="U16" s="561"/>
      <c r="Y16" s="70">
        <f>G14</f>
        <v>1000</v>
      </c>
      <c r="Z16" s="70">
        <v>0</v>
      </c>
      <c r="AA16" s="70">
        <f>AA15</f>
        <v>1000</v>
      </c>
      <c r="AB16" s="70">
        <v>0</v>
      </c>
      <c r="AC16" s="70">
        <f t="shared" si="20"/>
        <v>960</v>
      </c>
      <c r="AD16" s="70">
        <f t="shared" si="20"/>
        <v>40</v>
      </c>
      <c r="AE16" s="70">
        <f>IF(AC16=$G$16,AC16-$AE$11,AC16+$AE$11)</f>
        <v>1040</v>
      </c>
      <c r="AF16" s="70">
        <f>IF(AD16=$G$16,AD16-$AE$11,AD16+$AE$10)</f>
        <v>-40</v>
      </c>
      <c r="AK16" s="79">
        <v>10</v>
      </c>
      <c r="AL16" s="75">
        <f t="shared" si="18"/>
        <v>40</v>
      </c>
      <c r="AM16" s="75" t="e">
        <f t="shared" si="16"/>
        <v>#VALUE!</v>
      </c>
      <c r="AN16" s="78">
        <f t="shared" si="17"/>
        <v>960</v>
      </c>
      <c r="AR16" s="70" t="e">
        <f>IF(AR2=$G$16,9999999999999,AR2)</f>
        <v>#VALUE!</v>
      </c>
      <c r="AU16" s="70">
        <f>IF(AU2=$G$16,9999999999999,AU2)</f>
        <v>9999999999999</v>
      </c>
      <c r="AX16" s="70">
        <f>IF(AX2=$G$16,9999999999999,AX2)</f>
        <v>9999999999999</v>
      </c>
      <c r="BA16" s="70">
        <f>IF(BA2=$G$16,9999999999999,BA2)</f>
        <v>9999999999999</v>
      </c>
      <c r="BD16" s="70">
        <f>BD2</f>
        <v>40</v>
      </c>
      <c r="BG16" s="70">
        <f>BG2</f>
        <v>40</v>
      </c>
      <c r="BJ16" s="70">
        <f>BJ2</f>
        <v>40</v>
      </c>
      <c r="BM16" s="70">
        <f>BM2</f>
        <v>40</v>
      </c>
      <c r="BR16" s="135"/>
      <c r="BS16" s="135"/>
      <c r="BT16" s="135"/>
      <c r="BU16" s="135"/>
      <c r="BV16" s="135"/>
      <c r="BW16" s="135"/>
      <c r="BX16" s="135"/>
      <c r="BY16" s="135"/>
      <c r="BZ16" s="135"/>
      <c r="CA16" s="135"/>
      <c r="CB16" s="135"/>
      <c r="CC16" s="135"/>
      <c r="CD16" s="135"/>
      <c r="CE16" s="135"/>
      <c r="CF16" s="135"/>
      <c r="CG16" s="135"/>
    </row>
    <row r="17" spans="1:85" ht="19.5" customHeight="1">
      <c r="A17" s="116"/>
      <c r="B17" s="271" t="s">
        <v>584</v>
      </c>
      <c r="C17" s="116"/>
      <c r="D17" s="116"/>
      <c r="E17" s="274" t="s">
        <v>917</v>
      </c>
      <c r="F17" s="274" t="s">
        <v>573</v>
      </c>
      <c r="G17" s="265">
        <f>'_TB Analysis'!C10</f>
        <v>60</v>
      </c>
      <c r="H17" s="271" t="s">
        <v>585</v>
      </c>
      <c r="I17" s="116"/>
      <c r="J17" s="116"/>
      <c r="K17" s="116"/>
      <c r="L17" s="112"/>
      <c r="M17" s="112"/>
      <c r="N17" s="116"/>
      <c r="O17" s="116"/>
      <c r="P17" s="70">
        <v>25</v>
      </c>
      <c r="Q17" s="70">
        <f t="shared" si="19"/>
        <v>25</v>
      </c>
      <c r="R17" s="71">
        <f>O40</f>
        <v>0</v>
      </c>
      <c r="Y17" s="70">
        <v>0</v>
      </c>
      <c r="Z17" s="70">
        <v>0</v>
      </c>
      <c r="AA17" s="70">
        <v>0</v>
      </c>
      <c r="AB17" s="70">
        <v>0</v>
      </c>
      <c r="AC17" s="70">
        <f t="shared" si="20"/>
        <v>40</v>
      </c>
      <c r="AD17" s="70">
        <f t="shared" si="20"/>
        <v>40</v>
      </c>
      <c r="AE17" s="70">
        <f>IF(AC17=$G$16,AC17-$AE$11,AC17+$AE$11)</f>
        <v>-40</v>
      </c>
      <c r="AF17" s="70">
        <f>IF(AD17=$G$16,AD17-$AE$11,AD17+$AE$10)</f>
        <v>-40</v>
      </c>
      <c r="AR17" s="70">
        <v>0</v>
      </c>
      <c r="AS17" s="70">
        <v>0</v>
      </c>
      <c r="BR17" s="135"/>
      <c r="BS17" s="135"/>
      <c r="BT17" s="135"/>
      <c r="BU17" s="135"/>
      <c r="BV17" s="135"/>
      <c r="BW17" s="135"/>
      <c r="BX17" s="135"/>
      <c r="BY17" s="135"/>
      <c r="BZ17" s="135"/>
      <c r="CA17" s="135"/>
      <c r="CB17" s="135"/>
      <c r="CC17" s="135"/>
      <c r="CD17" s="135"/>
      <c r="CE17" s="135"/>
      <c r="CF17" s="135"/>
      <c r="CG17" s="135"/>
    </row>
    <row r="18" spans="1:85" ht="19.5" customHeight="1">
      <c r="A18" s="116"/>
      <c r="B18" s="527" t="s">
        <v>954</v>
      </c>
      <c r="C18" s="526"/>
      <c r="D18" s="526"/>
      <c r="E18" s="274" t="s">
        <v>918</v>
      </c>
      <c r="F18" s="274" t="s">
        <v>573</v>
      </c>
      <c r="G18" s="303">
        <v>500</v>
      </c>
      <c r="H18" s="271" t="s">
        <v>585</v>
      </c>
      <c r="I18" s="116"/>
      <c r="J18" s="116"/>
      <c r="K18" s="116"/>
      <c r="L18" s="116"/>
      <c r="M18" s="116"/>
      <c r="N18" s="116"/>
      <c r="O18" s="116"/>
      <c r="P18" s="70">
        <v>32</v>
      </c>
      <c r="Q18" s="70">
        <f t="shared" si="19"/>
        <v>32</v>
      </c>
      <c r="R18" s="71">
        <f>O44</f>
        <v>0</v>
      </c>
      <c r="AR18" s="70">
        <v>0</v>
      </c>
      <c r="AS18" s="70" t="str">
        <f>Z14</f>
        <v/>
      </c>
      <c r="BR18" s="135"/>
      <c r="BS18" s="135"/>
      <c r="BT18" s="135"/>
      <c r="BU18" s="135"/>
      <c r="BV18" s="135"/>
      <c r="BW18" s="135"/>
      <c r="BX18" s="135"/>
      <c r="BY18" s="135"/>
      <c r="BZ18" s="135"/>
      <c r="CA18" s="135"/>
      <c r="CB18" s="135"/>
      <c r="CC18" s="135"/>
      <c r="CD18" s="135"/>
      <c r="CE18" s="135"/>
      <c r="CF18" s="135"/>
      <c r="CG18" s="135"/>
    </row>
    <row r="19" spans="1:85" ht="19.5" customHeight="1">
      <c r="A19" s="116"/>
      <c r="B19" s="527" t="s">
        <v>955</v>
      </c>
      <c r="C19" s="526"/>
      <c r="D19" s="526"/>
      <c r="E19" s="274" t="s">
        <v>919</v>
      </c>
      <c r="F19" s="274" t="s">
        <v>573</v>
      </c>
      <c r="G19" s="303">
        <v>500</v>
      </c>
      <c r="H19" s="271" t="s">
        <v>585</v>
      </c>
      <c r="I19" s="116"/>
      <c r="J19" s="116"/>
      <c r="K19" s="116"/>
      <c r="L19" s="116"/>
      <c r="M19" s="116"/>
      <c r="N19" s="116"/>
      <c r="O19" s="116"/>
      <c r="P19" s="70">
        <v>40</v>
      </c>
      <c r="Q19" s="70">
        <f t="shared" si="19"/>
        <v>40</v>
      </c>
      <c r="R19" s="71" t="str">
        <f>O52</f>
        <v/>
      </c>
      <c r="AR19" s="70">
        <f>Y15</f>
        <v>1000</v>
      </c>
      <c r="AS19" s="70" t="str">
        <f>Z15</f>
        <v/>
      </c>
      <c r="BR19" s="135"/>
      <c r="BS19" s="135"/>
      <c r="BT19" s="135"/>
      <c r="BU19" s="135"/>
      <c r="BV19" s="135"/>
      <c r="BW19" s="135"/>
      <c r="BX19" s="135"/>
      <c r="BY19" s="135"/>
      <c r="BZ19" s="135"/>
      <c r="CA19" s="135"/>
      <c r="CB19" s="135"/>
      <c r="CC19" s="135"/>
      <c r="CD19" s="135"/>
      <c r="CE19" s="135"/>
      <c r="CF19" s="135"/>
      <c r="CG19" s="135"/>
    </row>
    <row r="20" spans="1:85" ht="7.95" customHeight="1">
      <c r="A20" s="116"/>
      <c r="B20" s="116"/>
      <c r="C20" s="116"/>
      <c r="D20" s="116"/>
      <c r="E20" s="116"/>
      <c r="F20" s="112"/>
      <c r="G20" s="112"/>
      <c r="H20" s="112"/>
      <c r="I20" s="116"/>
      <c r="J20" s="116"/>
      <c r="K20" s="116"/>
      <c r="L20" s="116"/>
      <c r="M20" s="116"/>
      <c r="N20" s="116"/>
      <c r="O20" s="116"/>
      <c r="AR20" s="70">
        <f>Y16</f>
        <v>1000</v>
      </c>
      <c r="AS20" s="70">
        <v>0</v>
      </c>
      <c r="BR20" s="135"/>
      <c r="BS20" s="135"/>
      <c r="BT20" s="135"/>
      <c r="BU20" s="135"/>
      <c r="BV20" s="135"/>
      <c r="BW20" s="135"/>
      <c r="BX20" s="135"/>
      <c r="BY20" s="135"/>
      <c r="BZ20" s="135"/>
      <c r="CA20" s="135"/>
      <c r="CB20" s="135"/>
      <c r="CC20" s="135"/>
      <c r="CD20" s="135"/>
      <c r="CE20" s="135"/>
      <c r="CF20" s="135"/>
      <c r="CG20" s="135"/>
    </row>
    <row r="21" spans="1:85" ht="25.05" customHeight="1">
      <c r="A21" s="116"/>
      <c r="B21" s="521" t="s">
        <v>949</v>
      </c>
      <c r="C21" s="521"/>
      <c r="D21" s="521"/>
      <c r="E21" s="521"/>
      <c r="F21" s="521"/>
      <c r="G21" s="521"/>
      <c r="H21" s="521"/>
      <c r="I21" s="521"/>
      <c r="J21" s="521"/>
      <c r="K21" s="521"/>
      <c r="L21" s="521"/>
      <c r="M21" s="521"/>
      <c r="N21" s="521"/>
      <c r="O21" s="141"/>
      <c r="R21" s="71" t="str">
        <f>O59</f>
        <v>CHECK DEPTH</v>
      </c>
      <c r="T21" s="276" t="str">
        <f>IF(AND(N40="OKAY",N44="OKAY",N52="OKAY",N59="OKAY",N69="OKAY",N77="OKAY",N78="OKAY",N87="OKAY"),"OKAY","NOT OKAY")</f>
        <v>NOT OKAY</v>
      </c>
      <c r="AR21" s="70">
        <v>0</v>
      </c>
      <c r="AS21" s="70">
        <v>0</v>
      </c>
      <c r="BR21" s="135"/>
      <c r="BS21" s="135"/>
      <c r="BT21" s="135"/>
      <c r="BU21" s="135"/>
      <c r="BV21" s="135"/>
      <c r="BW21" s="135"/>
      <c r="BX21" s="135"/>
      <c r="BY21" s="135"/>
      <c r="BZ21" s="135"/>
      <c r="CA21" s="135"/>
      <c r="CB21" s="135"/>
      <c r="CC21" s="135"/>
      <c r="CD21" s="135"/>
      <c r="CE21" s="135"/>
      <c r="CF21" s="135"/>
      <c r="CG21" s="135"/>
    </row>
    <row r="22" spans="1:85" ht="7.95" customHeight="1">
      <c r="A22" s="116"/>
      <c r="B22" s="116"/>
      <c r="C22" s="116"/>
      <c r="D22" s="116"/>
      <c r="E22" s="116"/>
      <c r="F22" s="116"/>
      <c r="G22" s="116"/>
      <c r="H22" s="116"/>
      <c r="I22" s="116"/>
      <c r="J22" s="116"/>
      <c r="K22" s="116"/>
      <c r="L22" s="116"/>
      <c r="M22" s="116"/>
      <c r="N22" s="116"/>
      <c r="O22" s="116"/>
      <c r="R22" s="562" t="s">
        <v>1087</v>
      </c>
      <c r="S22" s="562"/>
      <c r="T22" s="562"/>
      <c r="U22" s="562"/>
      <c r="V22" s="562"/>
      <c r="BR22" s="135"/>
      <c r="BS22" s="135"/>
      <c r="BT22" s="135"/>
      <c r="BU22" s="135"/>
      <c r="BV22" s="135"/>
      <c r="BW22" s="135"/>
      <c r="BX22" s="135"/>
      <c r="BY22" s="135"/>
      <c r="BZ22" s="135"/>
      <c r="CA22" s="135"/>
      <c r="CB22" s="135"/>
      <c r="CC22" s="135"/>
      <c r="CD22" s="135"/>
      <c r="CE22" s="135"/>
      <c r="CF22" s="135"/>
      <c r="CG22" s="135"/>
    </row>
    <row r="23" spans="1:85" ht="19.5" customHeight="1">
      <c r="A23" s="116"/>
      <c r="B23" s="271" t="s">
        <v>586</v>
      </c>
      <c r="C23" s="116"/>
      <c r="D23" s="116"/>
      <c r="E23" s="274" t="s">
        <v>587</v>
      </c>
      <c r="F23" s="274" t="s">
        <v>573</v>
      </c>
      <c r="G23" s="299" t="str">
        <f>IF('_TB Analysis'!I25="OK",'_TB Analysis'!C37,"")</f>
        <v/>
      </c>
      <c r="H23" s="271" t="s">
        <v>588</v>
      </c>
      <c r="I23" s="116"/>
      <c r="J23" s="116"/>
      <c r="K23" s="116"/>
      <c r="L23" s="116"/>
      <c r="M23" s="116"/>
      <c r="N23" s="116"/>
      <c r="O23" s="116"/>
      <c r="R23" s="562" t="str">
        <f>IF('_TB Analysis'!I25&lt;&gt;"OK","SOURCE: "&amp;'_TB Analysis'!I25,IF(G16="","ENTER COVER",IF(AND(G13&lt;&gt;"",NOT(ISNUMBER(G13))),"INVALID ECCENTRICITY",IF(G13&lt;0,"ENTER e &gt;= 0",IF(T21="OKAY","REFERENCE CHECKS: OKAY","REFERENCE CHECKS: NOT OKAY")))))</f>
        <v>SOURCE: INVALID INPUT</v>
      </c>
      <c r="S23" s="562"/>
      <c r="T23" s="562"/>
      <c r="U23" s="562"/>
      <c r="V23" s="562"/>
      <c r="BR23" s="135"/>
      <c r="BS23" s="135"/>
      <c r="BT23" s="135"/>
      <c r="BU23" s="135"/>
      <c r="BV23" s="135"/>
      <c r="BW23" s="135"/>
      <c r="BX23" s="135"/>
      <c r="BY23" s="135"/>
      <c r="BZ23" s="135"/>
      <c r="CA23" s="135"/>
      <c r="CB23" s="135"/>
      <c r="CC23" s="135"/>
      <c r="CD23" s="135"/>
      <c r="CE23" s="135"/>
      <c r="CF23" s="135"/>
      <c r="CG23" s="135"/>
    </row>
    <row r="24" spans="1:85" ht="19.5" customHeight="1">
      <c r="A24" s="116"/>
      <c r="B24" s="271" t="s">
        <v>589</v>
      </c>
      <c r="C24" s="116"/>
      <c r="D24" s="116"/>
      <c r="E24" s="274" t="s">
        <v>590</v>
      </c>
      <c r="F24" s="274" t="s">
        <v>573</v>
      </c>
      <c r="G24" s="299" t="str">
        <f>IF('_TB Analysis'!I25="OK",'_TB Analysis'!C36,"")</f>
        <v/>
      </c>
      <c r="H24" s="271" t="s">
        <v>591</v>
      </c>
      <c r="I24" s="116"/>
      <c r="J24" s="116"/>
      <c r="K24" s="116"/>
      <c r="L24" s="116"/>
      <c r="M24" s="116"/>
      <c r="N24" s="116"/>
      <c r="O24" s="116"/>
      <c r="R24" s="562" t="s">
        <v>1016</v>
      </c>
      <c r="S24" s="562"/>
      <c r="T24" s="562"/>
      <c r="U24" s="562"/>
      <c r="V24" s="562"/>
      <c r="BR24" s="135"/>
      <c r="BS24" s="135"/>
      <c r="BT24" s="135"/>
      <c r="BU24" s="135"/>
      <c r="BV24" s="135"/>
      <c r="BW24" s="135"/>
      <c r="BX24" s="135"/>
      <c r="BY24" s="135"/>
      <c r="BZ24" s="135"/>
      <c r="CA24" s="135"/>
      <c r="CB24" s="135"/>
      <c r="CC24" s="135"/>
      <c r="CD24" s="135"/>
      <c r="CE24" s="135"/>
      <c r="CF24" s="135"/>
      <c r="CG24" s="135"/>
    </row>
    <row r="25" spans="1:85" ht="19.5" customHeight="1">
      <c r="A25" s="116"/>
      <c r="B25" s="271" t="s">
        <v>592</v>
      </c>
      <c r="C25" s="116"/>
      <c r="D25" s="116"/>
      <c r="E25" s="274" t="s">
        <v>593</v>
      </c>
      <c r="F25" s="274" t="s">
        <v>573</v>
      </c>
      <c r="G25" s="524" t="str">
        <f>E24&amp; " x "&amp;E13</f>
        <v>V x e</v>
      </c>
      <c r="H25" s="525"/>
      <c r="I25" s="525"/>
      <c r="J25" s="271" t="s">
        <v>573</v>
      </c>
      <c r="K25" s="264" t="str">
        <f>IF(ISNUMBER(G24),G24*N(G13),"")</f>
        <v/>
      </c>
      <c r="L25" s="271" t="s">
        <v>588</v>
      </c>
      <c r="M25" s="116"/>
      <c r="N25" s="116"/>
      <c r="O25" s="116"/>
      <c r="R25" s="84" t="str">
        <f>O77</f>
        <v/>
      </c>
      <c r="S25" s="84"/>
      <c r="T25" s="84"/>
      <c r="U25" s="84"/>
      <c r="V25" s="84"/>
      <c r="BR25" s="135"/>
      <c r="BS25" s="135"/>
      <c r="BT25" s="135"/>
      <c r="BU25" s="135"/>
      <c r="BV25" s="135"/>
      <c r="BW25" s="135"/>
      <c r="BX25" s="135"/>
      <c r="BY25" s="135"/>
      <c r="BZ25" s="135"/>
      <c r="CA25" s="135"/>
      <c r="CB25" s="135"/>
      <c r="CC25" s="135"/>
      <c r="CD25" s="135"/>
      <c r="CE25" s="135"/>
      <c r="CF25" s="135"/>
      <c r="CG25" s="135"/>
    </row>
    <row r="26" spans="1:85" ht="7.95" customHeight="1">
      <c r="A26" s="116"/>
      <c r="B26" s="526"/>
      <c r="C26" s="526"/>
      <c r="D26" s="526"/>
      <c r="E26" s="116"/>
      <c r="F26" s="112"/>
      <c r="G26" s="113"/>
      <c r="H26" s="113"/>
      <c r="I26" s="116"/>
      <c r="J26" s="116"/>
      <c r="K26" s="116"/>
      <c r="L26" s="116"/>
      <c r="M26" s="116"/>
      <c r="N26" s="116"/>
      <c r="O26" s="116"/>
      <c r="R26" s="562" t="s">
        <v>1103</v>
      </c>
      <c r="S26" s="562"/>
      <c r="T26" s="562"/>
      <c r="U26" s="562"/>
      <c r="V26" s="562"/>
      <c r="BR26" s="135"/>
      <c r="BS26" s="135"/>
      <c r="BT26" s="135"/>
      <c r="BU26" s="135"/>
      <c r="BV26" s="135"/>
      <c r="BW26" s="135"/>
      <c r="BX26" s="135"/>
      <c r="BY26" s="135"/>
      <c r="BZ26" s="135"/>
      <c r="CA26" s="135"/>
      <c r="CB26" s="135"/>
      <c r="CC26" s="135"/>
      <c r="CD26" s="135"/>
      <c r="CE26" s="135"/>
      <c r="CF26" s="135"/>
      <c r="CG26" s="135"/>
    </row>
    <row r="27" spans="1:85" ht="25.05" customHeight="1">
      <c r="A27" s="116"/>
      <c r="B27" s="141" t="s">
        <v>950</v>
      </c>
      <c r="C27" s="141"/>
      <c r="D27" s="141"/>
      <c r="E27" s="141"/>
      <c r="F27" s="142"/>
      <c r="G27" s="143"/>
      <c r="H27" s="143"/>
      <c r="I27" s="141"/>
      <c r="J27" s="141"/>
      <c r="K27" s="141"/>
      <c r="L27" s="141"/>
      <c r="M27" s="141"/>
      <c r="N27" s="144" t="s">
        <v>594</v>
      </c>
      <c r="O27" s="141"/>
      <c r="R27" s="562" t="s">
        <v>646</v>
      </c>
      <c r="S27" s="562"/>
      <c r="T27" s="562"/>
      <c r="U27" s="562"/>
      <c r="V27" s="562"/>
      <c r="BR27" s="135"/>
      <c r="BS27" s="135"/>
      <c r="BT27" s="135"/>
      <c r="BU27" s="135"/>
      <c r="BV27" s="135"/>
      <c r="BW27" s="135"/>
      <c r="BX27" s="135"/>
      <c r="BY27" s="135"/>
      <c r="BZ27" s="135"/>
      <c r="CA27" s="135"/>
      <c r="CB27" s="135"/>
      <c r="CC27" s="135"/>
      <c r="CD27" s="135"/>
      <c r="CE27" s="135"/>
      <c r="CF27" s="135"/>
      <c r="CG27" s="135"/>
    </row>
    <row r="28" spans="1:85" ht="7.95" customHeight="1">
      <c r="A28" s="116"/>
      <c r="B28" s="116"/>
      <c r="C28" s="116"/>
      <c r="D28" s="116"/>
      <c r="E28" s="116"/>
      <c r="F28" s="116"/>
      <c r="G28" s="116"/>
      <c r="H28" s="116"/>
      <c r="I28" s="116"/>
      <c r="J28" s="116"/>
      <c r="K28" s="116"/>
      <c r="L28" s="116"/>
      <c r="M28" s="116"/>
      <c r="N28" s="116"/>
      <c r="O28" s="116"/>
      <c r="R28" s="562"/>
      <c r="S28" s="562"/>
      <c r="T28" s="562"/>
      <c r="U28" s="562"/>
      <c r="V28" s="562"/>
      <c r="BR28" s="135"/>
      <c r="BS28" s="135"/>
      <c r="BT28" s="135"/>
      <c r="BU28" s="135"/>
      <c r="BV28" s="135"/>
      <c r="BW28" s="135"/>
      <c r="BX28" s="135"/>
      <c r="BY28" s="135"/>
      <c r="BZ28" s="135"/>
      <c r="CA28" s="135"/>
      <c r="CB28" s="135"/>
      <c r="CC28" s="135"/>
      <c r="CD28" s="135"/>
      <c r="CE28" s="135"/>
      <c r="CF28" s="135"/>
      <c r="CG28" s="135"/>
    </row>
    <row r="29" spans="1:85" ht="19.5" customHeight="1">
      <c r="A29" s="116"/>
      <c r="B29" s="271" t="s">
        <v>595</v>
      </c>
      <c r="C29" s="116"/>
      <c r="D29" s="116"/>
      <c r="E29" s="274" t="s">
        <v>596</v>
      </c>
      <c r="F29" s="274" t="s">
        <v>573</v>
      </c>
      <c r="G29" s="277" t="str">
        <f>IF(COUNT($G$12,$G$14,$G$15,$G$17)&lt;4,"",Q44)</f>
        <v/>
      </c>
      <c r="H29" s="271" t="s">
        <v>579</v>
      </c>
      <c r="I29" s="116"/>
      <c r="J29" s="116"/>
      <c r="K29" s="116"/>
      <c r="L29" s="116"/>
      <c r="M29" s="116"/>
      <c r="N29" s="116"/>
      <c r="O29" s="116"/>
      <c r="R29" s="566" t="s">
        <v>1089</v>
      </c>
      <c r="S29" s="566"/>
      <c r="T29" s="566"/>
      <c r="U29" s="566"/>
      <c r="V29" s="566"/>
      <c r="BR29" s="135"/>
      <c r="BS29" s="135"/>
      <c r="BT29" s="135"/>
      <c r="BU29" s="135"/>
      <c r="BV29" s="135"/>
      <c r="BW29" s="135"/>
      <c r="BX29" s="135"/>
      <c r="BY29" s="135"/>
      <c r="BZ29" s="135"/>
      <c r="CA29" s="135"/>
      <c r="CB29" s="135"/>
      <c r="CC29" s="135"/>
      <c r="CD29" s="135"/>
      <c r="CE29" s="135"/>
      <c r="CF29" s="135"/>
      <c r="CG29" s="135"/>
    </row>
    <row r="30" spans="1:85" ht="19.5" customHeight="1">
      <c r="A30" s="116"/>
      <c r="B30" s="116"/>
      <c r="C30" s="116"/>
      <c r="D30" s="116"/>
      <c r="E30" s="274" t="s">
        <v>597</v>
      </c>
      <c r="F30" s="274" t="s">
        <v>573</v>
      </c>
      <c r="G30" s="278" t="s">
        <v>920</v>
      </c>
      <c r="H30" s="111"/>
      <c r="I30" s="116"/>
      <c r="J30" s="274" t="s">
        <v>573</v>
      </c>
      <c r="K30" s="279" t="str">
        <f>IF(OR(COUNT($G$12,$G$14,$G$15,$G$17)&lt;4,$G$15&lt;=0),"",IF(OR(NOT(ISNUMBER($G$29)),$G$29&lt;=0),"CHECK DEPTH",IF(OR(COUNT($G$12,$G$14,$G$15,$G$17)&lt;4,$G$15&lt;=0),"",ROUND(G23*10^6/(G14*G29^2*G17),3))))</f>
        <v/>
      </c>
      <c r="L30" s="116"/>
      <c r="M30" s="116"/>
      <c r="N30" s="280" t="s">
        <v>598</v>
      </c>
      <c r="O30" s="116"/>
      <c r="R30" s="566"/>
      <c r="S30" s="566"/>
      <c r="T30" s="566"/>
      <c r="U30" s="566"/>
      <c r="V30" s="566"/>
      <c r="BR30" s="135"/>
      <c r="BS30" s="135"/>
      <c r="BT30" s="135"/>
      <c r="BU30" s="135"/>
      <c r="BV30" s="135"/>
      <c r="BW30" s="135"/>
      <c r="BX30" s="135"/>
      <c r="BY30" s="135"/>
      <c r="BZ30" s="135"/>
      <c r="CA30" s="135"/>
      <c r="CB30" s="135"/>
      <c r="CC30" s="135"/>
      <c r="CD30" s="135"/>
      <c r="CE30" s="135"/>
      <c r="CF30" s="135"/>
      <c r="CG30" s="135"/>
    </row>
    <row r="31" spans="1:85" ht="19.5" customHeight="1">
      <c r="A31" s="116"/>
      <c r="B31" s="116"/>
      <c r="C31" s="116"/>
      <c r="D31" s="116"/>
      <c r="E31" s="112"/>
      <c r="F31" s="274" t="str">
        <f>IF(OR(COUNT($G$12,$G$14,$G$15,$G$17)&lt;4,$G$15&lt;=0),"",IF(K30&gt;K31,"&gt;","&lt;"))</f>
        <v/>
      </c>
      <c r="G31" s="112"/>
      <c r="H31" s="112"/>
      <c r="I31" s="277" t="s">
        <v>599</v>
      </c>
      <c r="J31" s="274" t="s">
        <v>573</v>
      </c>
      <c r="K31" s="279" t="str">
        <f>IF(OR(COUNT($G$12,$G$14,$G$15,$G$17)&lt;4,$G$15&lt;=0),"",IF(G17&lt;=45,0.156,IF(G17&lt;70,0.12,0.094)))</f>
        <v/>
      </c>
      <c r="L31" s="116"/>
      <c r="M31" s="116"/>
      <c r="N31" s="280" t="s">
        <v>600</v>
      </c>
      <c r="O31" s="116"/>
      <c r="R31" s="562" t="s">
        <v>665</v>
      </c>
      <c r="S31" s="562"/>
      <c r="T31" s="562"/>
      <c r="U31" s="562"/>
      <c r="V31" s="562"/>
      <c r="BR31" s="135"/>
      <c r="BS31" s="135"/>
      <c r="BT31" s="135"/>
      <c r="BU31" s="135"/>
      <c r="BV31" s="135"/>
      <c r="BW31" s="135"/>
      <c r="BX31" s="135"/>
      <c r="BY31" s="135"/>
      <c r="BZ31" s="135"/>
      <c r="CA31" s="135"/>
      <c r="CB31" s="135"/>
      <c r="CC31" s="135"/>
      <c r="CD31" s="135"/>
      <c r="CE31" s="135"/>
      <c r="CF31" s="135"/>
      <c r="CG31" s="135"/>
    </row>
    <row r="32" spans="1:85" ht="19.5" customHeight="1">
      <c r="A32" s="116"/>
      <c r="B32" s="116"/>
      <c r="C32" s="116"/>
      <c r="D32" s="277" t="s">
        <v>921</v>
      </c>
      <c r="E32" s="281" t="str">
        <f>IF(OR(COUNT($G$12,$G$14,$G$15,$G$17)&lt;4,$G$15&lt;=0),"","Compression reinforcement is"&amp;IF(F31="&gt;"," "," not ")&amp;"required")</f>
        <v/>
      </c>
      <c r="F32" s="112"/>
      <c r="G32" s="112"/>
      <c r="H32" s="112"/>
      <c r="I32" s="113"/>
      <c r="J32" s="112"/>
      <c r="K32" s="118"/>
      <c r="L32" s="116"/>
      <c r="M32" s="116"/>
      <c r="N32" s="139"/>
      <c r="O32" s="116"/>
      <c r="R32" s="562"/>
      <c r="S32" s="562"/>
      <c r="T32" s="562"/>
      <c r="U32" s="562"/>
      <c r="V32" s="562"/>
      <c r="BR32" s="135"/>
      <c r="BS32" s="135"/>
      <c r="BT32" s="135"/>
      <c r="BU32" s="135"/>
      <c r="BV32" s="135"/>
      <c r="BW32" s="135"/>
      <c r="BX32" s="135"/>
      <c r="BY32" s="135"/>
      <c r="BZ32" s="135"/>
      <c r="CA32" s="135"/>
      <c r="CB32" s="135"/>
      <c r="CC32" s="135"/>
      <c r="CD32" s="135"/>
      <c r="CE32" s="135"/>
      <c r="CF32" s="135"/>
      <c r="CG32" s="135"/>
    </row>
    <row r="33" spans="1:85" ht="19.5" customHeight="1">
      <c r="A33" s="116"/>
      <c r="B33" s="271" t="s">
        <v>956</v>
      </c>
      <c r="C33" s="116"/>
      <c r="D33" s="116"/>
      <c r="E33" s="274" t="s">
        <v>601</v>
      </c>
      <c r="F33" s="274" t="s">
        <v>573</v>
      </c>
      <c r="G33" s="278" t="str">
        <f>IF(OR(COUNT($G$12,$G$14,$G$15,$G$17)&lt;4,$G$15&lt;=0),"","d(0.5+     0.25-"&amp;IF(K30&gt;K31,"K'","K")&amp;"/0.9)")</f>
        <v/>
      </c>
      <c r="H33" s="111"/>
      <c r="I33" s="113"/>
      <c r="J33" s="274" t="s">
        <v>573</v>
      </c>
      <c r="K33" s="282" t="str">
        <f>IF(OR(COUNT($G$12,$G$14,$G$15,$G$17)&lt;4,$G$15&lt;=0),"",IF(OR(NOT(ISNUMBER($G$29)),$G$29&lt;=0),"CHECK DEPTH",IF(OR(COUNT($G$12,$G$14,$G$15,$G$17)&lt;4,$G$15&lt;=0),"",IF(K30&gt;K31,0.5+(0.25-K31/0.9)^0.5,0.5+(0.25-K30/0.9)^0.5))))</f>
        <v/>
      </c>
      <c r="L33" s="271" t="s">
        <v>596</v>
      </c>
      <c r="M33" s="116"/>
      <c r="N33" s="280" t="str">
        <f>IF(OR(COUNT($G$12,$G$14,$G$15,$G$17)&lt;4,$G$15&lt;=0),"",IF(K30&gt;K31,"…6.13","…6.10"))</f>
        <v/>
      </c>
      <c r="O33" s="116"/>
      <c r="R33" s="562" t="s">
        <v>647</v>
      </c>
      <c r="S33" s="562"/>
      <c r="T33" s="562"/>
      <c r="U33" s="562"/>
      <c r="V33" s="562"/>
      <c r="BR33" s="135"/>
      <c r="BS33" s="135"/>
      <c r="BT33" s="135"/>
      <c r="BU33" s="135"/>
      <c r="BV33" s="135"/>
      <c r="BW33" s="135"/>
      <c r="BX33" s="135"/>
      <c r="BY33" s="135"/>
      <c r="BZ33" s="135"/>
      <c r="CA33" s="135"/>
      <c r="CB33" s="135"/>
      <c r="CC33" s="135"/>
      <c r="CD33" s="135"/>
      <c r="CE33" s="135"/>
      <c r="CF33" s="135"/>
      <c r="CG33" s="135"/>
    </row>
    <row r="34" spans="1:85" ht="19.5" customHeight="1">
      <c r="A34" s="116"/>
      <c r="B34" s="116"/>
      <c r="C34" s="116"/>
      <c r="D34" s="116"/>
      <c r="E34" s="112"/>
      <c r="F34" s="112"/>
      <c r="G34" s="112"/>
      <c r="H34" s="112"/>
      <c r="I34" s="113"/>
      <c r="J34" s="274" t="str">
        <f>IF(OR(COUNT($G$12,$G$14,$G$15,$G$17)&lt;4,$G$15&lt;=0),"",IF(K33&gt;K34,"&gt;","&lt;"))</f>
        <v/>
      </c>
      <c r="K34" s="282">
        <v>0.95</v>
      </c>
      <c r="L34" s="271" t="s">
        <v>596</v>
      </c>
      <c r="M34" s="116"/>
      <c r="N34" s="139"/>
      <c r="O34" s="116"/>
      <c r="R34" s="562"/>
      <c r="S34" s="562"/>
      <c r="T34" s="562"/>
      <c r="U34" s="562"/>
      <c r="V34" s="562"/>
      <c r="BR34" s="135"/>
      <c r="BS34" s="135"/>
      <c r="BT34" s="135"/>
      <c r="BU34" s="135"/>
      <c r="BV34" s="135"/>
      <c r="BW34" s="135"/>
      <c r="BX34" s="135"/>
      <c r="BY34" s="135"/>
      <c r="BZ34" s="135"/>
      <c r="CA34" s="135"/>
      <c r="CB34" s="135"/>
      <c r="CC34" s="135"/>
      <c r="CD34" s="135"/>
      <c r="CE34" s="135"/>
      <c r="CF34" s="135"/>
      <c r="CG34" s="135"/>
    </row>
    <row r="35" spans="1:85" ht="19.5" customHeight="1">
      <c r="A35" s="116"/>
      <c r="B35" s="116"/>
      <c r="C35" s="116"/>
      <c r="D35" s="277" t="s">
        <v>921</v>
      </c>
      <c r="E35" s="274" t="s">
        <v>601</v>
      </c>
      <c r="F35" s="274" t="s">
        <v>573</v>
      </c>
      <c r="G35" s="277" t="str">
        <f>IF(OR(COUNT($G$12,$G$14,$G$15,$G$17)&lt;4,$G$15&lt;=0),"",IF(OR(NOT(ISNUMBER($G$29)),$G$29&lt;=0),"CHECK DEPTH",IF(OR(COUNT($G$12,$G$14,$G$15,$G$17)&lt;4,$G$15&lt;=0),"",ROUND(MIN(K33:K34)*G29,0))))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|1000||40|60|500|500|||0||40|250|150|4|8layers|RULE86</v>
      </c>
      <c r="U35" s="82"/>
      <c r="V35" s="82"/>
      <c r="BR35" s="135"/>
      <c r="BS35" s="135"/>
      <c r="BT35" s="135"/>
      <c r="BU35" s="135"/>
      <c r="BV35" s="135"/>
      <c r="BW35" s="135"/>
      <c r="BX35" s="135"/>
      <c r="BY35" s="135"/>
      <c r="BZ35" s="135"/>
      <c r="CA35" s="135"/>
      <c r="CB35" s="135"/>
      <c r="CC35" s="135"/>
      <c r="CD35" s="135"/>
      <c r="CE35" s="135"/>
      <c r="CF35" s="135"/>
      <c r="CG35" s="135"/>
    </row>
    <row r="36" spans="1:85" ht="19.5" customHeight="1">
      <c r="A36" s="116"/>
      <c r="B36" s="528" t="s">
        <v>602</v>
      </c>
      <c r="C36" s="116"/>
      <c r="D36" s="113"/>
      <c r="E36" s="524" t="s">
        <v>922</v>
      </c>
      <c r="F36" s="524" t="s">
        <v>573</v>
      </c>
      <c r="G36" s="524" t="s">
        <v>923</v>
      </c>
      <c r="H36" s="525"/>
      <c r="I36" s="116"/>
      <c r="J36" s="524" t="s">
        <v>573</v>
      </c>
      <c r="K36" s="530" t="str">
        <f>IF(OR(COUNT($G$12,$G$14,$G$15,$G$17)&lt;4,$G$15&lt;=0),"",IF(OR(NOT(ISNUMBER($G$29)),$G$29&lt;=0),"CHECK DEPTH",IF(OR(COUNT($G$12,$G$14,$G$15,$G$17)&lt;4,$G$15&lt;=0),"",ROUND(IF(K30&gt;K31,((K30-K31)*G17*G14*G29^2)/(0.87*G18*(Q44-Q40)),0),0))))</f>
        <v/>
      </c>
      <c r="L36" s="532" t="s">
        <v>916</v>
      </c>
      <c r="M36" s="114"/>
      <c r="N36" s="534" t="s">
        <v>603</v>
      </c>
      <c r="O36" s="116"/>
      <c r="R36" s="82"/>
      <c r="S36" s="82"/>
      <c r="T36" s="83" t="s">
        <v>1014</v>
      </c>
      <c r="U36" s="82"/>
      <c r="V36" s="82"/>
      <c r="BR36" s="492" t="s">
        <v>1007</v>
      </c>
      <c r="BS36" s="576"/>
      <c r="BT36" s="576"/>
      <c r="BU36" s="576"/>
      <c r="BV36" s="576"/>
      <c r="BW36" s="576"/>
      <c r="BX36" s="576"/>
      <c r="BY36" s="576"/>
      <c r="BZ36" s="576"/>
      <c r="CA36" s="576"/>
      <c r="CB36" s="576"/>
      <c r="CC36" s="576"/>
      <c r="CD36" s="576"/>
      <c r="CE36" s="576"/>
      <c r="CF36" s="576"/>
      <c r="CG36" s="576"/>
    </row>
    <row r="37" spans="1:85" ht="19.5" customHeight="1">
      <c r="A37" s="116"/>
      <c r="B37" s="529"/>
      <c r="C37" s="116"/>
      <c r="D37" s="116"/>
      <c r="E37" s="525"/>
      <c r="F37" s="525"/>
      <c r="G37" s="536" t="s">
        <v>924</v>
      </c>
      <c r="H37" s="537"/>
      <c r="I37" s="116"/>
      <c r="J37" s="525"/>
      <c r="K37" s="531"/>
      <c r="L37" s="533"/>
      <c r="M37" s="114"/>
      <c r="N37" s="535"/>
      <c r="O37" s="116"/>
      <c r="P37" s="80"/>
      <c r="R37" s="82"/>
      <c r="S37" s="82"/>
      <c r="T37" s="83">
        <v>6</v>
      </c>
      <c r="U37" s="82"/>
      <c r="V37" s="82"/>
      <c r="BR37" s="576"/>
      <c r="BS37" s="576"/>
      <c r="BT37" s="576"/>
      <c r="BU37" s="576"/>
      <c r="BV37" s="576"/>
      <c r="BW37" s="576"/>
      <c r="BX37" s="576"/>
      <c r="BY37" s="576"/>
      <c r="BZ37" s="576"/>
      <c r="CA37" s="576"/>
      <c r="CB37" s="576"/>
      <c r="CC37" s="576"/>
      <c r="CD37" s="576"/>
      <c r="CE37" s="576"/>
      <c r="CF37" s="576"/>
      <c r="CG37" s="576"/>
    </row>
    <row r="38" spans="1:85" ht="19.5" customHeight="1">
      <c r="A38" s="116"/>
      <c r="B38" s="528" t="s">
        <v>604</v>
      </c>
      <c r="C38" s="116"/>
      <c r="D38" s="116"/>
      <c r="E38" s="524" t="s">
        <v>605</v>
      </c>
      <c r="F38" s="524" t="s">
        <v>573</v>
      </c>
      <c r="G38" s="524" t="str">
        <f>IF(OR(COUNT($G$12,$G$14,$G$15,$G$17)&lt;4,$G$15&lt;=0),"",IF(K30&gt;K31,"K' fcu b d²)","M"))</f>
        <v/>
      </c>
      <c r="H38" s="525"/>
      <c r="I38" s="528" t="str">
        <f>IF(OR(COUNT($G$12,$G$14,$G$15,$G$17)&lt;4,$G$15&lt;=0),"",IF(K30&gt;K31," + As'",""))</f>
        <v/>
      </c>
      <c r="J38" s="524" t="s">
        <v>573</v>
      </c>
      <c r="K38" s="530" t="str">
        <f>IF(OR(COUNT($G$12,$G$14,$G$15,$G$17)&lt;4,$G$15&lt;=0),"",IF(OR(NOT(ISNUMBER($G$29)),$G$29&lt;=0),"CHECK DEPTH",IF(OR(COUNT($G$12,$G$14,$G$15,$G$17)&lt;4,$G$15&lt;=0),"",ROUND(IF(K30&gt;K31,K31*G17*G14*G29^2/(0.87*G18*G35)+K36,G23*10^6/(0.87*G18*G35)),0))))</f>
        <v/>
      </c>
      <c r="L38" s="532" t="s">
        <v>916</v>
      </c>
      <c r="M38" s="114"/>
      <c r="N38" s="534" t="str">
        <f>IF(OR(COUNT($G$12,$G$14,$G$15,$G$17)&lt;4,$G$15&lt;=0),"",IF(K30&gt;K31,"…6.16","…6.12"))</f>
        <v/>
      </c>
      <c r="O38" s="116"/>
      <c r="R38" s="567" t="str">
        <f>"Steel mode: "&amp;T16&amp;". Use the explicit update / auto buttons."</f>
        <v>Steel mode: Auto. Use the explicit update / auto buttons.</v>
      </c>
      <c r="S38" s="567"/>
      <c r="T38" s="567"/>
      <c r="U38" s="567"/>
      <c r="V38" s="567"/>
      <c r="BR38" s="576"/>
      <c r="BS38" s="576"/>
      <c r="BT38" s="576"/>
      <c r="BU38" s="576"/>
      <c r="BV38" s="576"/>
      <c r="BW38" s="576"/>
      <c r="BX38" s="576"/>
      <c r="BY38" s="576"/>
      <c r="BZ38" s="576"/>
      <c r="CA38" s="576"/>
      <c r="CB38" s="576"/>
      <c r="CC38" s="576"/>
      <c r="CD38" s="576"/>
      <c r="CE38" s="576"/>
      <c r="CF38" s="576"/>
      <c r="CG38" s="576"/>
    </row>
    <row r="39" spans="1:85" ht="7.95" customHeight="1">
      <c r="A39" s="116"/>
      <c r="B39" s="529"/>
      <c r="C39" s="116"/>
      <c r="D39" s="116"/>
      <c r="E39" s="525"/>
      <c r="F39" s="525"/>
      <c r="G39" s="536" t="s">
        <v>925</v>
      </c>
      <c r="H39" s="537"/>
      <c r="I39" s="529"/>
      <c r="J39" s="525"/>
      <c r="K39" s="531"/>
      <c r="L39" s="533"/>
      <c r="M39" s="114"/>
      <c r="N39" s="535"/>
      <c r="O39" s="116"/>
      <c r="R39" s="567"/>
      <c r="S39" s="567"/>
      <c r="T39" s="567"/>
      <c r="U39" s="567"/>
      <c r="V39" s="567"/>
      <c r="BR39" s="576"/>
      <c r="BS39" s="576"/>
      <c r="BT39" s="576"/>
      <c r="BU39" s="576"/>
      <c r="BV39" s="576"/>
      <c r="BW39" s="576"/>
      <c r="BX39" s="576"/>
      <c r="BY39" s="576"/>
      <c r="BZ39" s="576"/>
      <c r="CA39" s="576"/>
      <c r="CB39" s="576"/>
      <c r="CC39" s="576"/>
      <c r="CD39" s="576"/>
      <c r="CE39" s="576"/>
      <c r="CF39" s="576"/>
      <c r="CG39" s="576"/>
    </row>
    <row r="40" spans="1:85" ht="19.5" customHeight="1">
      <c r="A40" s="116"/>
      <c r="B40" s="271" t="s">
        <v>606</v>
      </c>
      <c r="C40" s="304">
        <v>2</v>
      </c>
      <c r="D40" s="305">
        <v>16</v>
      </c>
      <c r="E40" s="274" t="s">
        <v>926</v>
      </c>
      <c r="F40" s="274" t="s">
        <v>573</v>
      </c>
      <c r="G40" s="271" t="str">
        <f>IF(OR(COUNT($G$12,$G$14,$G$15,$G$17)&lt;4,$G$15&lt;=0),"",ROUND(BeamSteelArea(40,$C$40:$D$47,$C$110:$D$117,$G$14:$G$16,$G$58),0))</f>
        <v/>
      </c>
      <c r="H40" s="271" t="s">
        <v>362</v>
      </c>
      <c r="I40" s="285" t="str">
        <f>IF(OR(COUNT($G$12,$G$14,$G$15,$G$17)&lt;4,$G$15&lt;=0),"",", "&amp;ROUND(G40/(G14*G15)*100,2)&amp;"%)")</f>
        <v/>
      </c>
      <c r="J40" s="116"/>
      <c r="K40" s="112"/>
      <c r="L40" s="119"/>
      <c r="M40" s="119"/>
      <c r="N40" s="286" t="str">
        <f>IF(OR(COUNT($G$12,$G$14,$G$15,$G$17)&lt;4,$G$15&lt;=0),"",IF(OR(NOT(BeamBarsFit(40,$C$40:$D$47,$C$110:$D$117,$G$14:$G$16,$G$58)),G40/(G14*G15)*100&gt;MIN(4,T11)),"NOT OKAY",IF(G40=0,"NOT OKAY",IF((K36&gt;G40),"NOT OKAY",IF(ROUND(G40/(G14*G15)*100,2)&lt;IF(K36=0,0.13,0.2),"NOT OKAY",IF(ROUND(G40/(G14*G15)*100,2)&gt;T11,"NOT OKAY","OKAY"))))))</f>
        <v/>
      </c>
      <c r="O40" s="132"/>
      <c r="P40" s="70">
        <f>BeamLayerDepth(40,0,$C$40:$D$47,$C$110:$D$117,$G$14:$G$16,$G$58)</f>
        <v>58</v>
      </c>
      <c r="Q40" s="70">
        <f>BeamDepth(40,$C$40:$D$47,$C$110:$D$117,$G$14:$G$16,$G$58)</f>
        <v>58</v>
      </c>
      <c r="R40" s="568" t="str">
        <f>IF(AND((IFERROR(IF('_TB Analysis'!I25&lt;&gt;"OK","INPUT REQUIRED",IF(OR(G16="",NOT(ISNUMBER(G16)),G16&lt;0,AND(G13&lt;&gt;"",NOT(ISNUMBER(G13))),G13&lt;0),"INPUT REQUIRED",IF(LEFT(R24,12)="AUTO STOPPED","REVIEW REQUIRED",IF(T21="OKAY","OKAY","NOT OKAY")))),"REVIEW REQUIRED"))="OKAY",NOT(BarSizeRule84(C40:D47,C110:D117))),"REVIEW: BAR SIZE RULE",IFERROR(IF('_TB Analysis'!I25&lt;&gt;"OK","INPUT REQUIRED",IF(OR(G16="",NOT(ISNUMBER(G16)),G16&lt;0,AND(G13&lt;&gt;"",NOT(ISNUMBER(G13))),G13&lt;0),"INPUT REQUIRED",IF(LEFT(R24,12)="AUTO STOPPED","REVIEW REQUIRED",IF(T21="OKAY","OKAY","NOT OKAY")))),"REVIEW REQUIRED"))</f>
        <v>INPUT REQUIRED</v>
      </c>
      <c r="S40" s="568"/>
      <c r="T40" s="568"/>
      <c r="U40" s="568"/>
      <c r="V40" s="568"/>
      <c r="BR40" s="576"/>
      <c r="BS40" s="576"/>
      <c r="BT40" s="576"/>
      <c r="BU40" s="576"/>
      <c r="BV40" s="576"/>
      <c r="BW40" s="576"/>
      <c r="BX40" s="576"/>
      <c r="BY40" s="576"/>
      <c r="BZ40" s="576"/>
      <c r="CA40" s="576"/>
      <c r="CB40" s="576"/>
      <c r="CC40" s="576"/>
      <c r="CD40" s="576"/>
      <c r="CE40" s="576"/>
      <c r="CF40" s="576"/>
      <c r="CG40" s="576"/>
    </row>
    <row r="41" spans="1:85" ht="19.5" customHeight="1">
      <c r="A41" s="116"/>
      <c r="B41" s="277" t="s">
        <v>607</v>
      </c>
      <c r="C41" s="304"/>
      <c r="D41" s="305"/>
      <c r="E41" s="116"/>
      <c r="F41" s="116"/>
      <c r="G41" s="116"/>
      <c r="H41" s="116"/>
      <c r="I41" s="116"/>
      <c r="J41" s="116"/>
      <c r="K41" s="112"/>
      <c r="L41" s="119"/>
      <c r="M41" s="119"/>
      <c r="N41" s="538" t="str">
        <f>IF(OR(COUNT($G$12,$G$14,$G$15,$G$17)&lt;4,$G$15&lt;=0),"",IF(K36=0,"",IF((K36&gt;G40),"(Increase As')",IF(ROUND(G40/(G14*G15)*100,2)&lt;0.2,"(Increase As')",IF(ROUND(G40/(G14*G15)*100,2)&gt;4,"(Decrease As')","")))))</f>
        <v/>
      </c>
      <c r="O41" s="539"/>
      <c r="P41" s="70" t="str">
        <f>BeamLayerDepth(40,1,$C$40:$D$47,$C$110:$D$117,$G$14:$G$16,$G$58)</f>
        <v/>
      </c>
      <c r="R41" s="568"/>
      <c r="S41" s="568"/>
      <c r="T41" s="568"/>
      <c r="U41" s="568"/>
      <c r="V41" s="568"/>
      <c r="BR41" s="576"/>
      <c r="BS41" s="576"/>
      <c r="BT41" s="576"/>
      <c r="BU41" s="576"/>
      <c r="BV41" s="576"/>
      <c r="BW41" s="576"/>
      <c r="BX41" s="576"/>
      <c r="BY41" s="576"/>
      <c r="BZ41" s="576"/>
      <c r="CA41" s="576"/>
      <c r="CB41" s="576"/>
      <c r="CC41" s="576"/>
      <c r="CD41" s="576"/>
      <c r="CE41" s="576"/>
      <c r="CF41" s="576"/>
      <c r="CG41" s="576"/>
    </row>
    <row r="42" spans="1:85" ht="19.5" customHeight="1">
      <c r="A42" s="116"/>
      <c r="B42" s="277" t="s">
        <v>608</v>
      </c>
      <c r="C42" s="304"/>
      <c r="D42" s="305"/>
      <c r="E42" s="116"/>
      <c r="F42" s="116"/>
      <c r="G42" s="116"/>
      <c r="H42" s="116"/>
      <c r="I42" s="116"/>
      <c r="J42" s="116"/>
      <c r="K42" s="112"/>
      <c r="L42" s="119"/>
      <c r="M42" s="119"/>
      <c r="N42" s="116"/>
      <c r="O42" s="113"/>
      <c r="P42" s="70" t="str">
        <f>BeamLayerDepth(40,2,$C$40:$D$47,$C$110:$D$117,$G$14:$G$16,$G$58)</f>
        <v/>
      </c>
      <c r="BR42" s="135"/>
      <c r="BS42" s="135"/>
      <c r="BT42" s="135"/>
      <c r="BU42" s="135"/>
      <c r="BV42" s="135"/>
      <c r="BW42" s="135"/>
      <c r="BX42" s="135"/>
      <c r="BY42" s="135"/>
      <c r="BZ42" s="135"/>
      <c r="CA42" s="135"/>
      <c r="CB42" s="135"/>
      <c r="CC42" s="135"/>
      <c r="CD42" s="135"/>
      <c r="CE42" s="135"/>
      <c r="CF42" s="135"/>
      <c r="CG42" s="135"/>
    </row>
    <row r="43" spans="1:85" ht="19.5" customHeight="1">
      <c r="A43" s="116"/>
      <c r="B43" s="277" t="s">
        <v>609</v>
      </c>
      <c r="C43" s="304"/>
      <c r="D43" s="305"/>
      <c r="E43" s="116"/>
      <c r="F43" s="116"/>
      <c r="G43" s="116"/>
      <c r="H43" s="116"/>
      <c r="I43" s="116"/>
      <c r="J43" s="116"/>
      <c r="K43" s="112"/>
      <c r="L43" s="119"/>
      <c r="M43" s="119"/>
      <c r="N43" s="116"/>
      <c r="O43" s="113"/>
      <c r="P43" s="70" t="str">
        <f>BeamLayerDepth(40,3,$C$40:$D$47,$C$110:$D$117,$G$14:$G$16,$G$58)</f>
        <v/>
      </c>
      <c r="BR43" s="487" t="s">
        <v>997</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2</v>
      </c>
      <c r="D44" s="305">
        <v>16</v>
      </c>
      <c r="E44" s="274" t="s">
        <v>927</v>
      </c>
      <c r="F44" s="274" t="s">
        <v>573</v>
      </c>
      <c r="G44" s="271" t="str">
        <f>IF(OR(COUNT($G$12,$G$14,$G$15,$G$17)&lt;4,$G$15&lt;=0),"",ROUND(BeamSteelArea(44,$C$40:$D$47,$C$110:$D$117,$G$14:$G$16,$G$58),0))</f>
        <v/>
      </c>
      <c r="H44" s="271" t="s">
        <v>362</v>
      </c>
      <c r="I44" s="285" t="str">
        <f>IF(OR(COUNT($G$12,$G$14,$G$15,$G$17)&lt;4,$G$15&lt;=0),"",", "&amp;ROUND(G44/(G14*G15)*100,2)&amp;"%)")</f>
        <v/>
      </c>
      <c r="J44" s="116"/>
      <c r="K44" s="116"/>
      <c r="L44" s="116"/>
      <c r="M44" s="116"/>
      <c r="N44" s="286" t="str">
        <f>IF(OR(COUNT($G$12,$G$14,$G$15,$G$17)&lt;4,$G$15&lt;=0),"",IF(OR(NOT(BeamBarsFit(44,$C$40:$D$47,$C$110:$D$117,$G$14:$G$16,$G$58)),G44/(G14*G15)*100&gt;MIN(4,T11)),"NOT OKAY",IF((G44&gt;=K38)*AND(ROUND(G44/(G14*G15)*100,2)&gt;0.13)*AND(G44/(G14*G15)*100&lt;=MIN(4,T11)),"OKAY","NOT OKAY")))</f>
        <v/>
      </c>
      <c r="O44" s="132"/>
      <c r="P44" s="70">
        <f>BeamLayerDepth(44,0,$C$40:$D$47,$C$110:$D$117,$G$14:$G$16,$G$58)</f>
        <v>-58</v>
      </c>
      <c r="Q44" s="70">
        <f>BeamDepth(44,$C$40:$D$47,$C$110:$D$117,$G$14:$G$16,$G$58)</f>
        <v>-58</v>
      </c>
      <c r="BR44" s="486" t="s">
        <v>998</v>
      </c>
      <c r="BS44" s="573"/>
      <c r="BT44" s="573"/>
      <c r="BU44" s="574">
        <v>40</v>
      </c>
      <c r="BV44" s="575"/>
      <c r="BW44" s="575"/>
      <c r="BX44" s="486" t="s">
        <v>1000</v>
      </c>
      <c r="BY44" s="573"/>
      <c r="BZ44" s="573"/>
      <c r="CA44" s="573"/>
      <c r="CB44" s="569">
        <v>150</v>
      </c>
      <c r="CC44" s="570"/>
      <c r="CD44" s="570"/>
      <c r="CE44" s="570"/>
      <c r="CF44" s="570"/>
      <c r="CG44" s="570"/>
    </row>
    <row r="45" spans="1:85" ht="19.5" customHeight="1">
      <c r="A45" s="116"/>
      <c r="B45" s="277" t="s">
        <v>607</v>
      </c>
      <c r="C45" s="304"/>
      <c r="D45" s="305"/>
      <c r="E45" s="116"/>
      <c r="F45" s="112"/>
      <c r="G45" s="116"/>
      <c r="H45" s="116"/>
      <c r="I45" s="116"/>
      <c r="J45" s="116"/>
      <c r="K45" s="116"/>
      <c r="L45" s="116"/>
      <c r="M45" s="116"/>
      <c r="N45" s="538" t="str">
        <f>IF(OR(COUNT($G$12,$G$14,$G$15,$G$17)&lt;4,$G$15&lt;=0),"",IF((K38&gt;G44),"(Increase As)",IF(ROUND(G44/(G14*G15)*100,2)&lt;0.13,"(Increase As)",IF(ROUND(G44/(G14*G15)*100,2)&gt;4,"(Decrease As)",""))))</f>
        <v/>
      </c>
      <c r="O45" s="539"/>
      <c r="P45" s="70" t="str">
        <f>BeamLayerDepth(44,1,$C$40:$D$47,$C$110:$D$117,$G$14:$G$16,$G$58)</f>
        <v/>
      </c>
      <c r="BR45" s="486" t="s">
        <v>999</v>
      </c>
      <c r="BS45" s="573"/>
      <c r="BT45" s="573"/>
      <c r="BU45" s="569">
        <v>250</v>
      </c>
      <c r="BV45" s="570"/>
      <c r="BW45" s="570"/>
      <c r="BX45" s="486" t="s">
        <v>1001</v>
      </c>
      <c r="BY45" s="573"/>
      <c r="BZ45" s="573"/>
      <c r="CA45" s="573"/>
      <c r="CB45" s="571">
        <v>4</v>
      </c>
      <c r="CC45" s="572"/>
      <c r="CD45" s="572"/>
      <c r="CE45" s="572"/>
      <c r="CF45" s="572"/>
      <c r="CG45" s="572"/>
    </row>
    <row r="46" spans="1:85" ht="19.5" customHeight="1">
      <c r="A46" s="116"/>
      <c r="B46" s="277" t="s">
        <v>608</v>
      </c>
      <c r="C46" s="304"/>
      <c r="D46" s="305"/>
      <c r="E46" s="116"/>
      <c r="F46" s="116"/>
      <c r="G46" s="116"/>
      <c r="H46" s="116"/>
      <c r="I46" s="116"/>
      <c r="J46" s="116"/>
      <c r="K46" s="116"/>
      <c r="L46" s="116"/>
      <c r="M46" s="116"/>
      <c r="N46" s="116"/>
      <c r="O46" s="116"/>
      <c r="P46" s="70" t="str">
        <f>BeamLayerDepth(44,2,$C$40:$D$47,$C$110:$D$117,$G$14:$G$16,$G$58)</f>
        <v/>
      </c>
      <c r="BR46" s="135"/>
      <c r="BS46" s="135"/>
      <c r="BT46" s="135"/>
      <c r="BU46" s="135"/>
      <c r="BV46" s="135"/>
      <c r="BW46" s="135"/>
      <c r="BX46" s="135"/>
      <c r="BY46" s="135"/>
      <c r="BZ46" s="135"/>
      <c r="CA46" s="135"/>
      <c r="CB46" s="135"/>
      <c r="CC46" s="135"/>
      <c r="CD46" s="135"/>
      <c r="CE46" s="135"/>
      <c r="CF46" s="135"/>
      <c r="CG46" s="135"/>
    </row>
    <row r="47" spans="1:85" ht="19.5" customHeight="1">
      <c r="A47" s="116"/>
      <c r="B47" s="277" t="s">
        <v>609</v>
      </c>
      <c r="C47" s="304"/>
      <c r="D47" s="305"/>
      <c r="E47" s="116"/>
      <c r="F47" s="116"/>
      <c r="G47" s="116"/>
      <c r="H47" s="116"/>
      <c r="I47" s="116"/>
      <c r="J47" s="116"/>
      <c r="K47" s="116"/>
      <c r="L47" s="116"/>
      <c r="M47" s="116"/>
      <c r="N47" s="116"/>
      <c r="O47" s="113"/>
      <c r="P47" s="70" t="str">
        <f>BeamLayerDepth(44,3,$C$40:$D$47,$C$110:$D$117,$G$14:$G$16,$G$58)</f>
        <v/>
      </c>
      <c r="BR47" s="137"/>
      <c r="BS47" s="137"/>
      <c r="BT47" s="137"/>
      <c r="BU47" s="137"/>
      <c r="BV47" s="137"/>
      <c r="BW47" s="137"/>
      <c r="BX47" s="137"/>
      <c r="BY47" s="137"/>
      <c r="BZ47" s="137"/>
      <c r="CA47" s="137"/>
      <c r="CB47" s="137"/>
      <c r="CC47" s="137"/>
      <c r="CD47" s="137"/>
      <c r="CE47" s="137"/>
      <c r="CF47" s="137"/>
      <c r="CG47" s="137"/>
    </row>
    <row r="48" spans="1:85" ht="7.95" customHeight="1">
      <c r="A48" s="116"/>
      <c r="B48" s="116"/>
      <c r="C48" s="113"/>
      <c r="D48" s="119"/>
      <c r="E48" s="116"/>
      <c r="F48" s="116"/>
      <c r="G48" s="116"/>
      <c r="H48" s="116"/>
      <c r="I48" s="116"/>
      <c r="J48" s="116"/>
      <c r="K48" s="112"/>
      <c r="L48" s="119"/>
      <c r="M48" s="119"/>
      <c r="N48" s="116"/>
      <c r="O48" s="113"/>
      <c r="BR48" s="179"/>
      <c r="BS48" s="179"/>
      <c r="BT48" s="179"/>
      <c r="BU48" s="179"/>
      <c r="BV48" s="179"/>
      <c r="BW48" s="179"/>
      <c r="BX48" s="179"/>
      <c r="BY48" s="179"/>
      <c r="BZ48" s="179"/>
      <c r="CA48" s="179"/>
      <c r="CB48" s="179"/>
      <c r="CC48" s="179"/>
      <c r="CD48" s="179"/>
      <c r="CE48" s="179"/>
      <c r="CF48" s="179"/>
      <c r="CG48" s="179"/>
    </row>
    <row r="49" spans="1:85" ht="25.05" customHeight="1">
      <c r="A49" s="116"/>
      <c r="B49" s="141" t="s">
        <v>951</v>
      </c>
      <c r="C49" s="141"/>
      <c r="D49" s="141"/>
      <c r="E49" s="141"/>
      <c r="F49" s="142"/>
      <c r="G49" s="143"/>
      <c r="H49" s="143"/>
      <c r="I49" s="141"/>
      <c r="J49" s="141"/>
      <c r="K49" s="141"/>
      <c r="L49" s="141"/>
      <c r="M49" s="141"/>
      <c r="N49" s="144" t="s">
        <v>611</v>
      </c>
      <c r="O49" s="141"/>
      <c r="BR49" s="484" t="s">
        <v>1004</v>
      </c>
      <c r="BS49" s="577"/>
      <c r="BT49" s="577"/>
      <c r="BU49" s="577"/>
      <c r="BV49" s="577"/>
      <c r="BW49" s="577"/>
      <c r="BX49" s="577"/>
      <c r="BY49" s="577"/>
      <c r="BZ49" s="577"/>
      <c r="CA49" s="577"/>
      <c r="CB49" s="577"/>
      <c r="CC49" s="577"/>
      <c r="CD49" s="577"/>
      <c r="CE49" s="577"/>
      <c r="CF49" s="577"/>
      <c r="CG49" s="577"/>
    </row>
    <row r="50" spans="1:85" ht="7.95" customHeight="1">
      <c r="A50" s="116"/>
      <c r="B50" s="116"/>
      <c r="C50" s="116"/>
      <c r="D50" s="116"/>
      <c r="E50" s="116"/>
      <c r="F50" s="116"/>
      <c r="G50" s="116"/>
      <c r="H50" s="116"/>
      <c r="I50" s="116"/>
      <c r="J50" s="116"/>
      <c r="K50" s="116"/>
      <c r="L50" s="116"/>
      <c r="M50" s="116"/>
      <c r="N50" s="116"/>
      <c r="O50" s="116"/>
      <c r="BR50" s="577"/>
      <c r="BS50" s="577"/>
      <c r="BT50" s="577"/>
      <c r="BU50" s="577"/>
      <c r="BV50" s="577"/>
      <c r="BW50" s="577"/>
      <c r="BX50" s="577"/>
      <c r="BY50" s="577"/>
      <c r="BZ50" s="577"/>
      <c r="CA50" s="577"/>
      <c r="CB50" s="577"/>
      <c r="CC50" s="577"/>
      <c r="CD50" s="577"/>
      <c r="CE50" s="577"/>
      <c r="CF50" s="577"/>
      <c r="CG50" s="577"/>
    </row>
    <row r="51" spans="1:85" ht="19.5" customHeight="1">
      <c r="A51" s="116"/>
      <c r="B51" s="271" t="s">
        <v>612</v>
      </c>
      <c r="C51" s="113"/>
      <c r="D51" s="119"/>
      <c r="E51" s="274" t="s">
        <v>613</v>
      </c>
      <c r="F51" s="274" t="s">
        <v>573</v>
      </c>
      <c r="G51" s="271" t="s">
        <v>614</v>
      </c>
      <c r="H51" s="116"/>
      <c r="I51" s="116"/>
      <c r="J51" s="274" t="s">
        <v>573</v>
      </c>
      <c r="K51" s="288" t="str">
        <f>IF(OR(COUNT($G$12,$G$14,$G$15,$G$17)&lt;4,$G$15&lt;=0),"",IF(OR(NOT(ISNUMBER($G$29)),$G$29&lt;=0),"CHECK DEPTH",IF(OR(COUNT($G$12,$G$14,$G$15,$G$17)&lt;4,$G$15&lt;=0),"",ROUND(G24*1000/(G14*G29),3))))</f>
        <v/>
      </c>
      <c r="L51" s="289" t="s">
        <v>585</v>
      </c>
      <c r="M51" s="119"/>
      <c r="N51" s="280" t="s">
        <v>615</v>
      </c>
      <c r="O51" s="113"/>
      <c r="P51" s="70">
        <v>300</v>
      </c>
      <c r="Q51" s="70">
        <f>MIN(P51,$T$9)</f>
        <v>250</v>
      </c>
      <c r="BR51" s="577"/>
      <c r="BS51" s="577"/>
      <c r="BT51" s="577"/>
      <c r="BU51" s="577"/>
      <c r="BV51" s="577"/>
      <c r="BW51" s="577"/>
      <c r="BX51" s="577"/>
      <c r="BY51" s="577"/>
      <c r="BZ51" s="577"/>
      <c r="CA51" s="577"/>
      <c r="CB51" s="577"/>
      <c r="CC51" s="577"/>
      <c r="CD51" s="577"/>
      <c r="CE51" s="577"/>
      <c r="CF51" s="577"/>
      <c r="CG51" s="577"/>
    </row>
    <row r="52" spans="1:85" ht="19.5" customHeight="1">
      <c r="A52" s="116"/>
      <c r="B52" s="116"/>
      <c r="C52" s="113"/>
      <c r="D52" s="119"/>
      <c r="E52" s="116"/>
      <c r="F52" s="274" t="str">
        <f>IF(OR(COUNT($G$12,$G$14,$G$15,$G$17)&lt;4,$G$15&lt;=0),"",IF(K51&gt;G52,"&gt;","&lt;"))</f>
        <v/>
      </c>
      <c r="G52" s="290">
        <v>7</v>
      </c>
      <c r="H52" s="289" t="s">
        <v>585</v>
      </c>
      <c r="I52" s="116"/>
      <c r="J52" s="274" t="str">
        <f>IF(OR(COUNT($G$12,$G$14,$G$15,$G$17)&lt;4,$G$15&lt;=0),"",IF(K51&gt;(0.8*G17^0.5),"&gt;","&lt;"))</f>
        <v/>
      </c>
      <c r="K52" s="278" t="s">
        <v>928</v>
      </c>
      <c r="L52" s="119"/>
      <c r="M52" s="119"/>
      <c r="N52" s="286" t="str">
        <f>IF(OR(COUNT($G$12,$G$14,$G$15,$G$17)&lt;4,$G$15&lt;=0),"",IF(K51&lt;(MIN(G52,0.8*G17^0.5)),"OKAY","NOT OKAY"))</f>
        <v/>
      </c>
      <c r="O52" s="291" t="str">
        <f>IF(OR(COUNT($G$12,$G$14,$G$15,$G$17)&lt;4,$G$15&lt;=0),"",IF(K51&lt;(MIN(G52,0.8*G17^0.5)),"","Provide large section"))</f>
        <v/>
      </c>
      <c r="P52" s="70">
        <v>275</v>
      </c>
      <c r="Q52" s="70">
        <f t="shared" ref="Q52:Q59" si="21">MIN(P52,$T$9)</f>
        <v>250</v>
      </c>
      <c r="BR52" s="577"/>
      <c r="BS52" s="577"/>
      <c r="BT52" s="577"/>
      <c r="BU52" s="577"/>
      <c r="BV52" s="577"/>
      <c r="BW52" s="577"/>
      <c r="BX52" s="577"/>
      <c r="BY52" s="577"/>
      <c r="BZ52" s="577"/>
      <c r="CA52" s="577"/>
      <c r="CB52" s="577"/>
      <c r="CC52" s="577"/>
      <c r="CD52" s="577"/>
      <c r="CE52" s="577"/>
      <c r="CF52" s="577"/>
      <c r="CG52" s="577"/>
    </row>
    <row r="53" spans="1:85" ht="19.5" customHeight="1">
      <c r="A53" s="116"/>
      <c r="B53" s="271" t="s">
        <v>616</v>
      </c>
      <c r="C53" s="113"/>
      <c r="D53" s="119"/>
      <c r="E53" s="274" t="s">
        <v>929</v>
      </c>
      <c r="F53" s="274" t="s">
        <v>573</v>
      </c>
      <c r="G53" s="277" t="str">
        <f>IF(OR(COUNT($G$12,$G$14,$G$15,$G$17)&lt;4,$G$15&lt;=0),"",IF(OR(NOT(ISNUMBER($G$29)),$G$29&lt;=0),"CHECK DEPTH",IF(OR(COUNT($G$12,$G$14,$G$15,$G$17)&lt;4,$G$15&lt;=0),"",ROUND(0.79*(MIN(3,100*G44/(G14*G29)))^(1/3)*(MAX(1,(400/G29)^(1/4)))/1.25*((G17/25)^(1/3)),2))))</f>
        <v/>
      </c>
      <c r="H53" s="289" t="s">
        <v>585</v>
      </c>
      <c r="I53" s="116"/>
      <c r="J53" s="116"/>
      <c r="K53" s="145"/>
      <c r="L53" s="116"/>
      <c r="M53" s="116"/>
      <c r="N53" s="280" t="s">
        <v>617</v>
      </c>
      <c r="O53" s="113"/>
      <c r="P53" s="70">
        <v>250</v>
      </c>
      <c r="Q53" s="70">
        <f t="shared" si="21"/>
        <v>250</v>
      </c>
    </row>
    <row r="54" spans="1:85" ht="19.5" customHeight="1">
      <c r="A54" s="116"/>
      <c r="B54" s="271" t="s">
        <v>618</v>
      </c>
      <c r="C54" s="113"/>
      <c r="D54" s="119"/>
      <c r="E54" s="274" t="s">
        <v>930</v>
      </c>
      <c r="F54" s="274" t="s">
        <v>573</v>
      </c>
      <c r="G54" s="288" t="str">
        <f>IF(OR(COUNT($G$12,$G$14,$G$15,$G$17)&lt;4,$G$15&lt;=0),"",MIN(MAX(0.4,0.4*(G17/40)^(2/3)),0.4*(80/40)^(2/3)))</f>
        <v/>
      </c>
      <c r="H54" s="289" t="s">
        <v>585</v>
      </c>
      <c r="I54" s="116"/>
      <c r="J54" s="116"/>
      <c r="K54" s="116"/>
      <c r="L54" s="116"/>
      <c r="M54" s="116"/>
      <c r="N54" s="280" t="s">
        <v>619</v>
      </c>
      <c r="O54" s="113"/>
      <c r="P54" s="70">
        <v>225</v>
      </c>
      <c r="Q54" s="70">
        <f t="shared" si="21"/>
        <v>225</v>
      </c>
    </row>
    <row r="55" spans="1:85" ht="19.5" customHeight="1">
      <c r="A55" s="116"/>
      <c r="B55" s="116"/>
      <c r="C55" s="113"/>
      <c r="D55" s="119"/>
      <c r="E55" s="112"/>
      <c r="F55" s="112"/>
      <c r="G55" s="292" t="str">
        <f>IF(OR(COUNT($G$12,$G$14,$G$15,$G$17)&lt;4,$G$15&lt;=0),"",IF(OR(NOT(ISNUMBER($G$29)),$G$29&lt;=0),"CHECK DEPTH",IF(OR(COUNT($G$12,$G$14,$G$15,$G$17)&lt;4,$G$15&lt;=0),"",IF(0.5*G53&gt;K51,"v &lt; 0.5vc",IF(G53+G54&gt;K51,"0.5vc &lt; v &lt; vc+vr","vc+vr &lt; v &lt; 0.8fcu^.5 or 7")))))</f>
        <v/>
      </c>
      <c r="H55" s="119"/>
      <c r="I55" s="116"/>
      <c r="J55" s="116"/>
      <c r="K55" s="116"/>
      <c r="L55" s="116"/>
      <c r="M55" s="116"/>
      <c r="N55" s="139"/>
      <c r="O55" s="113"/>
      <c r="P55" s="70">
        <v>200</v>
      </c>
      <c r="Q55" s="70">
        <f t="shared" si="21"/>
        <v>200</v>
      </c>
    </row>
    <row r="56" spans="1:85" ht="19.5" customHeight="1">
      <c r="A56" s="116"/>
      <c r="B56" s="528" t="s">
        <v>620</v>
      </c>
      <c r="C56" s="525"/>
      <c r="D56" s="530" t="s">
        <v>931</v>
      </c>
      <c r="E56" s="274" t="s">
        <v>932</v>
      </c>
      <c r="F56" s="524" t="s">
        <v>573</v>
      </c>
      <c r="G56" s="540" t="str">
        <f>IF(OR(COUNT($G$12,$G$14,$G$15,$G$17)&lt;4,$G$15&lt;=0),"",IF(OR(NOT(ISNUMBER($G$29)),$G$29&lt;=0),"CHECK DEPTH",IF(OR(COUNT($G$12,$G$14,$G$15,$G$17)&lt;4,$G$15&lt;=0),"",IF((G54+G53)&gt;K51,"vr b "," b (v-vc)"))))</f>
        <v/>
      </c>
      <c r="H56" s="525"/>
      <c r="I56" s="116"/>
      <c r="J56" s="524" t="s">
        <v>573</v>
      </c>
      <c r="K56" s="541" t="str">
        <f>IF(OR(COUNT($G$12,$G$14,$G$15,$G$17)&lt;4,$G$15&lt;=0),"",IF(OR(NOT(ISNUMBER($G$29)),$G$29&lt;=0),"CHECK DEPTH",IF(OR(COUNT($G$12,$G$14,$G$15,$G$17)&lt;4,$G$15&lt;=0),"",ROUND(IF(G53+G54&gt;K51,G54*G14/(0.87*G19),(K51-G53)*G14/(0.87*G19)),3))))</f>
        <v/>
      </c>
      <c r="L56" s="271" t="s">
        <v>362</v>
      </c>
      <c r="M56" s="116"/>
      <c r="N56" s="139"/>
      <c r="O56" s="113"/>
      <c r="P56" s="70">
        <v>175</v>
      </c>
      <c r="Q56" s="70">
        <f t="shared" si="21"/>
        <v>175</v>
      </c>
    </row>
    <row r="57" spans="1:85" ht="19.5" customHeight="1">
      <c r="A57" s="116"/>
      <c r="B57" s="529"/>
      <c r="C57" s="525"/>
      <c r="D57" s="531"/>
      <c r="E57" s="283" t="s">
        <v>933</v>
      </c>
      <c r="F57" s="525"/>
      <c r="G57" s="536" t="s">
        <v>934</v>
      </c>
      <c r="H57" s="537"/>
      <c r="I57" s="116"/>
      <c r="J57" s="525"/>
      <c r="K57" s="542"/>
      <c r="L57" s="293" t="s">
        <v>579</v>
      </c>
      <c r="M57" s="116"/>
      <c r="N57" s="139"/>
      <c r="O57" s="113"/>
      <c r="P57" s="70">
        <v>150</v>
      </c>
      <c r="Q57" s="70">
        <f t="shared" si="21"/>
        <v>150</v>
      </c>
    </row>
    <row r="58" spans="1:85" ht="19.5" customHeight="1">
      <c r="A58" s="116"/>
      <c r="B58" s="271" t="s">
        <v>621</v>
      </c>
      <c r="C58" s="116"/>
      <c r="D58" s="116"/>
      <c r="E58" s="306">
        <v>2</v>
      </c>
      <c r="F58" s="271" t="s">
        <v>622</v>
      </c>
      <c r="G58" s="307">
        <v>10</v>
      </c>
      <c r="H58" s="308">
        <v>200</v>
      </c>
      <c r="I58" s="274" t="s">
        <v>932</v>
      </c>
      <c r="J58" s="524" t="s">
        <v>573</v>
      </c>
      <c r="K58" s="543" t="str">
        <f>IF(OR(COUNT($G$12,$G$14,$G$15,$G$17)&lt;4,$G$15&lt;=0),"",IF(H58=0,0,ROUND(G58^2*PI()/4/H58*E58,3)))</f>
        <v/>
      </c>
      <c r="L58" s="271" t="s">
        <v>362</v>
      </c>
      <c r="M58" s="116"/>
      <c r="N58" s="116"/>
      <c r="O58" s="113"/>
      <c r="P58" s="70">
        <v>125</v>
      </c>
      <c r="Q58" s="70">
        <f t="shared" si="21"/>
        <v>125</v>
      </c>
    </row>
    <row r="59" spans="1:85" ht="19.5" customHeight="1">
      <c r="A59" s="116"/>
      <c r="B59" s="116"/>
      <c r="C59" s="116"/>
      <c r="D59" s="116"/>
      <c r="E59" s="112"/>
      <c r="F59" s="112"/>
      <c r="G59" s="121"/>
      <c r="H59" s="121"/>
      <c r="I59" s="283" t="s">
        <v>933</v>
      </c>
      <c r="J59" s="525"/>
      <c r="K59" s="542"/>
      <c r="L59" s="293" t="s">
        <v>579</v>
      </c>
      <c r="M59" s="116"/>
      <c r="N59" s="286" t="str">
        <f>IF(OR(COUNT($G$12,$G$14,$G$15,$G$17)&lt;4,$G$15&lt;=0),"",IF(K58&gt;K56,IF(H58&lt;0.75*G29,"OKAY","NOT OKAY"),"NOT OKAY"))</f>
        <v/>
      </c>
      <c r="O59" s="291" t="str">
        <f>IF(H58="","",IF(AND(ISNUMBER(G29),G29&gt;0),IF(H58&lt;=0.75*G29,"","Decrease spacing"),"CHECK DEPTH"))</f>
        <v>CHECK DEPTH</v>
      </c>
      <c r="P59" s="70">
        <v>100</v>
      </c>
      <c r="Q59" s="70">
        <f t="shared" si="21"/>
        <v>100</v>
      </c>
    </row>
    <row r="60" spans="1:85" ht="7.95" customHeight="1">
      <c r="A60" s="116"/>
      <c r="B60" s="116"/>
      <c r="C60" s="113"/>
      <c r="D60" s="119"/>
      <c r="E60" s="116"/>
      <c r="F60" s="116"/>
      <c r="G60" s="116"/>
      <c r="H60" s="116"/>
      <c r="I60" s="116"/>
      <c r="J60" s="116"/>
      <c r="K60" s="112"/>
      <c r="L60" s="119"/>
      <c r="M60" s="119"/>
      <c r="N60" s="116"/>
      <c r="O60" s="113"/>
      <c r="P60" s="294" t="str">
        <f>"T"&amp;G58&amp;"-"&amp;H58&amp;"("&amp;E58&amp;" "&amp;F58&amp;")"</f>
        <v>T10-200(2 legs)</v>
      </c>
    </row>
    <row r="61" spans="1:85" ht="25.05" customHeight="1">
      <c r="A61" s="116"/>
      <c r="B61" s="141" t="s">
        <v>952</v>
      </c>
      <c r="C61" s="141"/>
      <c r="D61" s="141"/>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24" t="s">
        <v>935</v>
      </c>
      <c r="F63" s="524" t="s">
        <v>573</v>
      </c>
      <c r="G63" s="524" t="s">
        <v>625</v>
      </c>
      <c r="H63" s="525"/>
      <c r="I63" s="525"/>
      <c r="J63" s="524" t="s">
        <v>573</v>
      </c>
      <c r="K63" s="543" t="str">
        <f>IF(OR(COUNT($G$12,$G$14,$G$15,$G$17)&lt;4,$G$15&lt;=0),"",IF(OR(NOT(ISNUMBER($G$29)),$G$29&lt;=0),"CHECK DEPTH",IF(OR(COUNT($G$12,$G$14,$G$15,$G$17)&lt;4,$G$15&lt;=0),"",ROUND(2*K25*10^6/(MIN(G14:G15)^2*(MAX(G14:G15)-MIN(G14:G15)/3)),3))))</f>
        <v/>
      </c>
      <c r="L63" s="528" t="s">
        <v>626</v>
      </c>
      <c r="M63" s="111"/>
      <c r="N63" s="534" t="s">
        <v>627</v>
      </c>
      <c r="O63" s="116"/>
    </row>
    <row r="64" spans="1:85" ht="19.5" customHeight="1">
      <c r="A64" s="116"/>
      <c r="B64" s="116"/>
      <c r="C64" s="116"/>
      <c r="D64" s="116"/>
      <c r="E64" s="525"/>
      <c r="F64" s="525"/>
      <c r="G64" s="536" t="s">
        <v>936</v>
      </c>
      <c r="H64" s="537"/>
      <c r="I64" s="537"/>
      <c r="J64" s="525"/>
      <c r="K64" s="531"/>
      <c r="L64" s="529"/>
      <c r="M64" s="111"/>
      <c r="N64" s="535"/>
      <c r="O64" s="116"/>
    </row>
    <row r="65" spans="1:19" ht="19.5" customHeight="1">
      <c r="A65" s="116"/>
      <c r="B65" s="271" t="s">
        <v>628</v>
      </c>
      <c r="C65" s="116"/>
      <c r="D65" s="116"/>
      <c r="E65" s="274" t="s">
        <v>937</v>
      </c>
      <c r="F65" s="274" t="s">
        <v>573</v>
      </c>
      <c r="G65" s="271" t="str">
        <f>IF(OR(COUNT($G$12,$G$14,$G$15,$G$17)&lt;4,$G$15&lt;=0),"",ROUND(MIN(0.6,0.067*G17^0.5),3))</f>
        <v/>
      </c>
      <c r="H65" s="289" t="s">
        <v>585</v>
      </c>
      <c r="I65" s="116"/>
      <c r="J65" s="112"/>
      <c r="K65" s="131"/>
      <c r="L65" s="116"/>
      <c r="M65" s="116"/>
      <c r="N65" s="534" t="s">
        <v>629</v>
      </c>
      <c r="O65" s="116"/>
      <c r="S65" s="70">
        <f>1000/6</f>
        <v>166.66666666666666</v>
      </c>
    </row>
    <row r="66" spans="1:19" ht="19.5" customHeight="1">
      <c r="A66" s="116"/>
      <c r="B66" s="271" t="s">
        <v>630</v>
      </c>
      <c r="C66" s="116"/>
      <c r="D66" s="116"/>
      <c r="E66" s="274" t="s">
        <v>938</v>
      </c>
      <c r="F66" s="274" t="s">
        <v>573</v>
      </c>
      <c r="G66" s="271" t="str">
        <f>IF(OR(COUNT($G$12,$G$14,$G$15,$G$17)&lt;4,$G$15&lt;=0),"",ROUND(MIN(7,0.8*G17^0.5),3))</f>
        <v/>
      </c>
      <c r="H66" s="289" t="s">
        <v>585</v>
      </c>
      <c r="I66" s="116"/>
      <c r="J66" s="112"/>
      <c r="K66" s="131"/>
      <c r="L66" s="116"/>
      <c r="M66" s="116"/>
      <c r="N66" s="535"/>
      <c r="O66" s="116"/>
    </row>
    <row r="67" spans="1:19" ht="19.5" customHeight="1">
      <c r="A67" s="116"/>
      <c r="B67" s="278" t="s">
        <v>631</v>
      </c>
      <c r="C67" s="111"/>
      <c r="D67" s="111"/>
      <c r="E67" s="284" t="s">
        <v>939</v>
      </c>
      <c r="F67" s="274" t="s">
        <v>573</v>
      </c>
      <c r="G67" s="295" t="str">
        <f>IF(OR(COUNT($G$12,$G$14,$G$15,$G$17)&lt;4,$G$15&lt;=0),"",MIN(G14:G15)-2*G16-G58)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IF(OR(COUNT($G$12,$G$14,$G$15,$G$17)&lt;4,$G$15&lt;=0),"",MAX(G14:G15)-2*G16-G58)</f>
        <v/>
      </c>
      <c r="H68" s="295" t="s">
        <v>579</v>
      </c>
      <c r="I68" s="116"/>
      <c r="J68" s="116"/>
      <c r="K68" s="116"/>
      <c r="L68" s="116"/>
      <c r="M68" s="116"/>
      <c r="N68" s="116"/>
      <c r="O68" s="116"/>
    </row>
    <row r="69" spans="1:19" ht="19.5" customHeight="1">
      <c r="A69" s="116"/>
      <c r="B69" s="277" t="s">
        <v>941</v>
      </c>
      <c r="C69" s="274" t="str">
        <f>IF(OR(COUNT($G$12,$G$14,$G$15,$G$17)&lt;4,$G$15&lt;=0),"",IF(K51+K63&gt;G66,"&gt;","&lt;"))</f>
        <v/>
      </c>
      <c r="D69" s="278" t="s">
        <v>938</v>
      </c>
      <c r="E69" s="265" t="s">
        <v>940</v>
      </c>
      <c r="F69" s="274" t="str">
        <f>IF(OR(COUNT($G$12,$G$14,$G$15,$G$17)&lt;4,$G$15&lt;=0),"",IF(G68&gt;G69,"&gt;","&lt;"))</f>
        <v/>
      </c>
      <c r="G69" s="296">
        <v>550</v>
      </c>
      <c r="H69" s="122"/>
      <c r="I69" s="277" t="str">
        <f>IF(OR(COUNT($G$12,$G$14,$G$15,$G$17)&lt;4,$G$15&lt;=0),"",IF(G68&lt;550,"vt",""))</f>
        <v/>
      </c>
      <c r="J69" s="274" t="str">
        <f>IF(OR(COUNT($G$12,$G$14,$G$15,$G$17)&lt;4,$G$15&lt;=0),"",IF(G68&gt;550,"",IF(K63&gt;(G66*G68/550),"&gt;","&lt;")))</f>
        <v/>
      </c>
      <c r="K69" s="271" t="str">
        <f>IF(OR(COUNT($G$12,$G$14,$G$15,$G$17)&lt;4,$G$15&lt;=0),"",IF(G68&lt;550,"vtu y1/550",""))</f>
        <v/>
      </c>
      <c r="L69" s="116"/>
      <c r="M69" s="116"/>
      <c r="N69" s="286" t="str">
        <f>IF(OR(COUNT($G$12,$G$14,$G$15,$G$17)&lt;4,$G$15&lt;=0),"",IF(C69="&lt;",IF(J69="&gt;","NOT OKAY","OKAY"),"NOT OKAY"))</f>
        <v/>
      </c>
      <c r="O69" s="297" t="str">
        <f>IF(OR(COUNT($G$12,$G$14,$G$15,$G$17)&lt;4,$G$15&lt;=0),"",IF(C69="&lt;",IF(J69="&gt;","vt&gt;vtu y1/550",""),"(v+vt)&gt;vtu"))</f>
        <v/>
      </c>
      <c r="R69" s="71" t="e">
        <f>IF(N69&lt;&gt;"OKAY",K63+K51,"")</f>
        <v>#VALUE!</v>
      </c>
    </row>
    <row r="70" spans="1:19" ht="19.5" customHeight="1">
      <c r="A70" s="116"/>
      <c r="B70" s="277" t="s">
        <v>613</v>
      </c>
      <c r="C70" s="274" t="str">
        <f>IF(OR(COUNT($G$12,$G$14,$G$15,$G$17)&lt;4,$G$15&lt;=0),"",IF(K51&gt;(G53+G54),"&gt;","&lt;"))</f>
        <v/>
      </c>
      <c r="D70" s="278" t="s">
        <v>942</v>
      </c>
      <c r="E70" s="265" t="s">
        <v>935</v>
      </c>
      <c r="F70" s="274" t="str">
        <f>IF(OR(COUNT($G$12,$G$14,$G$15,$G$17)&lt;4,$G$15&lt;=0),"",IF(K63&gt;G65,"&gt;","&lt;"))</f>
        <v/>
      </c>
      <c r="G70" s="295" t="s">
        <v>937</v>
      </c>
      <c r="H70" s="122"/>
      <c r="I70" s="116"/>
      <c r="J70" s="116"/>
      <c r="K70" s="116"/>
      <c r="L70" s="116"/>
      <c r="M70" s="116"/>
      <c r="N70" s="280" t="s">
        <v>633</v>
      </c>
      <c r="O70" s="116"/>
    </row>
    <row r="71" spans="1:19" ht="19.5" customHeight="1">
      <c r="A71" s="116"/>
      <c r="B71" s="111"/>
      <c r="C71" s="277" t="s">
        <v>921</v>
      </c>
      <c r="D71" s="281" t="str">
        <f>IF(OR(COUNT($G$12,$G$14,$G$15,$G$17)&lt;4,$G$15&lt;=0),"",IF(K63&gt;G65,IF(K51&gt;(G53+G54),"Designed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8" t="s">
        <v>634</v>
      </c>
      <c r="C72" s="113"/>
      <c r="D72" s="123"/>
      <c r="E72" s="274" t="s">
        <v>932</v>
      </c>
      <c r="F72" s="524" t="s">
        <v>573</v>
      </c>
      <c r="G72" s="524" t="s">
        <v>593</v>
      </c>
      <c r="H72" s="525"/>
      <c r="I72" s="116"/>
      <c r="J72" s="524" t="s">
        <v>573</v>
      </c>
      <c r="K72" s="543" t="str">
        <f>IF(OR(COUNT($G$12,$G$14,$G$15,$G$17)&lt;4,$G$15&lt;=0),"",IF(OR(NOT(ISNUMBER($G$29)),$G$29&lt;=0),"CHECK DEPTH",IF(OR(COUNT($G$12,$G$14,$G$15,$G$17)&lt;4,$G$15&lt;=0),"",ROUND(IF(G65&gt;K63,0,K25*10^6/(0.8*G67*G68*(0.87*G19))),3))))</f>
        <v/>
      </c>
      <c r="L72" s="271" t="s">
        <v>362</v>
      </c>
      <c r="M72" s="116"/>
      <c r="N72" s="116"/>
      <c r="O72" s="116"/>
    </row>
    <row r="73" spans="1:19" ht="19.5" customHeight="1">
      <c r="A73" s="116"/>
      <c r="B73" s="529"/>
      <c r="C73" s="113"/>
      <c r="D73" s="123"/>
      <c r="E73" s="283" t="s">
        <v>933</v>
      </c>
      <c r="F73" s="525"/>
      <c r="G73" s="536" t="s">
        <v>943</v>
      </c>
      <c r="H73" s="537"/>
      <c r="I73" s="116"/>
      <c r="J73" s="525"/>
      <c r="K73" s="542"/>
      <c r="L73" s="293" t="s">
        <v>579</v>
      </c>
      <c r="M73" s="116"/>
      <c r="N73" s="116"/>
      <c r="O73" s="116"/>
    </row>
    <row r="74" spans="1:19" ht="19.5" customHeight="1">
      <c r="A74" s="116"/>
      <c r="B74" s="528" t="s">
        <v>635</v>
      </c>
      <c r="C74" s="113"/>
      <c r="D74" s="123"/>
      <c r="E74" s="524" t="s">
        <v>605</v>
      </c>
      <c r="F74" s="524" t="s">
        <v>573</v>
      </c>
      <c r="G74" s="524" t="s">
        <v>944</v>
      </c>
      <c r="H74" s="525"/>
      <c r="I74" s="116"/>
      <c r="J74" s="524" t="s">
        <v>573</v>
      </c>
      <c r="K74" s="530" t="str">
        <f>IF(OR(COUNT($G$12,$G$14,$G$15,$G$17)&lt;4,$G$15&lt;=0),"",IF(OR(NOT(ISNUMBER($G$29)),$G$29&lt;=0),"CHECK DEPTH",IF(OR(COUNT($G$12,$G$14,$G$15,$G$17)&lt;4,$G$15&lt;=0),"",ROUND(K72*G19*(G67+G68)/G18,0))))</f>
        <v/>
      </c>
      <c r="L74" s="532" t="s">
        <v>916</v>
      </c>
      <c r="M74" s="114"/>
      <c r="N74" s="116"/>
      <c r="O74" s="116"/>
    </row>
    <row r="75" spans="1:19" ht="19.5" customHeight="1">
      <c r="A75" s="116"/>
      <c r="B75" s="529"/>
      <c r="C75" s="113"/>
      <c r="D75" s="123"/>
      <c r="E75" s="525"/>
      <c r="F75" s="525"/>
      <c r="G75" s="536" t="s">
        <v>945</v>
      </c>
      <c r="H75" s="537"/>
      <c r="I75" s="116"/>
      <c r="J75" s="525"/>
      <c r="K75" s="531"/>
      <c r="L75" s="533"/>
      <c r="M75" s="114"/>
      <c r="N75" s="116"/>
      <c r="O75" s="116"/>
    </row>
    <row r="76" spans="1:19" ht="19.5" customHeight="1">
      <c r="A76" s="116"/>
      <c r="B76" s="271" t="s">
        <v>636</v>
      </c>
      <c r="C76" s="116"/>
      <c r="D76" s="116"/>
      <c r="E76" s="306">
        <v>2</v>
      </c>
      <c r="F76" s="271" t="s">
        <v>622</v>
      </c>
      <c r="G76" s="307"/>
      <c r="H76" s="308"/>
      <c r="I76" s="274" t="s">
        <v>932</v>
      </c>
      <c r="J76" s="524" t="s">
        <v>573</v>
      </c>
      <c r="K76" s="543" t="str">
        <f>IF(OR(COUNT($G$12,$G$14,$G$15,$G$17)&lt;4,$G$15&lt;=0),"",IF(H76=0,0,ROUND(G76^2*PI()/4/H76*E76,3)))</f>
        <v/>
      </c>
      <c r="L76" s="271" t="s">
        <v>362</v>
      </c>
      <c r="M76" s="116"/>
      <c r="N76" s="116"/>
      <c r="O76" s="116"/>
    </row>
    <row r="77" spans="1:19" ht="19.5" customHeight="1">
      <c r="A77" s="116"/>
      <c r="B77" s="271" t="s">
        <v>636</v>
      </c>
      <c r="C77" s="116"/>
      <c r="D77" s="116"/>
      <c r="E77" s="112"/>
      <c r="F77" s="112"/>
      <c r="G77" s="121"/>
      <c r="H77" s="121"/>
      <c r="I77" s="283" t="s">
        <v>933</v>
      </c>
      <c r="J77" s="525"/>
      <c r="K77" s="542"/>
      <c r="L77" s="293" t="s">
        <v>579</v>
      </c>
      <c r="M77" s="116"/>
      <c r="N77" s="286" t="str">
        <f>IF(OR(COUNT($G$12,$G$14,$G$15,$G$17)&lt;4,$G$15&lt;=0),"",IF(K72&lt;&gt;0,IF(K76&gt;K72,IF(H76&lt;MIN(G67,G68/2,200),"OKAY","NOT OKAY"),"NOT OKAY"),"OKAY"))</f>
        <v/>
      </c>
      <c r="O77" s="291" t="str">
        <f>IF(OR(COUNT($G$12,$G$14,$G$15,$G$17)&lt;4,$G$15&lt;=0),"",IF(K72&lt;&gt;0,IF(K76&gt;K72,IF(H76&lt;MIN(G67,G68/2,200),"","Increase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IF(OR(COUNT($G$12,$G$14,$G$15,$G$17)&lt;4,$G$15&lt;=0),"",G44+G40)</f>
        <v/>
      </c>
      <c r="L78" s="271" t="s">
        <v>362</v>
      </c>
      <c r="M78" s="116"/>
      <c r="N78" s="286" t="str">
        <f>IF(OR(COUNT($G$12,$G$14,$G$15,$G$17)&lt;4,$G$15&lt;=0),"",IF(K74&gt;K78,"NOT OKAY","OKAY"))</f>
        <v/>
      </c>
      <c r="O78" s="291" t="str">
        <f>IF(OR(COUNT($G$12,$G$14,$G$15,$G$17)&lt;4,$G$15&lt;=0),"",IF(K78&gt;K74,"","Provide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1" t="s">
        <v>953</v>
      </c>
      <c r="C80" s="141"/>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IF(OR(COUNT($G$12,$G$14,$G$15,$G$17)&lt;4,$G$15&lt;=0),"",IF(OR(NOT(ISNUMBER($G$29)),$G$29&lt;=0),"CHECK DEPTH",IF(OR(COUNT($G$12,$G$14,$G$15,$G$17)&lt;4,$G$15&lt;=0),"",2/3*G18*K38/G44)))</f>
        <v/>
      </c>
      <c r="H82" s="271" t="s">
        <v>585</v>
      </c>
      <c r="I82" s="116"/>
      <c r="J82" s="116"/>
      <c r="K82" s="116"/>
      <c r="L82" s="116"/>
      <c r="M82" s="116"/>
      <c r="N82" s="280" t="s">
        <v>638</v>
      </c>
      <c r="O82" s="116"/>
    </row>
    <row r="83" spans="1:16" ht="19.5" customHeight="1">
      <c r="A83" s="116"/>
      <c r="B83" s="538" t="s">
        <v>639</v>
      </c>
      <c r="C83" s="539"/>
      <c r="D83" s="539"/>
      <c r="E83" s="539"/>
      <c r="F83" s="274" t="s">
        <v>573</v>
      </c>
      <c r="G83" s="299" t="str">
        <f>IF(OR(COUNT($G$12,$G$14,$G$15,$G$17)&lt;4,$G$15&lt;=0),"",IF(OR(NOT(ISNUMBER($G$29)),$G$29&lt;=0),"CHECK DEPTH",IF(OR(COUNT($G$12,$G$14,$G$15,$G$17)&lt;4,$G$15&lt;=0),"",ROUND(MIN(2,0.55+(477-G82)/(120*(0.9+G23*10^6/(G14*G29^2)))),2))))</f>
        <v/>
      </c>
      <c r="H83" s="115"/>
      <c r="I83" s="116"/>
      <c r="J83" s="116"/>
      <c r="K83" s="116"/>
      <c r="L83" s="116"/>
      <c r="M83" s="116"/>
      <c r="N83" s="280" t="s">
        <v>638</v>
      </c>
      <c r="O83" s="116"/>
      <c r="P83" s="81"/>
    </row>
    <row r="84" spans="1:16" ht="19.5" customHeight="1">
      <c r="A84" s="116"/>
      <c r="B84" s="550" t="s">
        <v>640</v>
      </c>
      <c r="C84" s="551"/>
      <c r="D84" s="551"/>
      <c r="E84" s="551"/>
      <c r="F84" s="274" t="s">
        <v>573</v>
      </c>
      <c r="G84" s="271" t="str">
        <f>IF(OR(COUNT($G$12,$G$14,$G$15,$G$17)&lt;4,$G$15&lt;=0),"",IF(OR(NOT(ISNUMBER($G$29)),$G$29&lt;=0),"CHECK DEPTH",IF(OR(COUNT($G$12,$G$14,$G$15,$G$17)&lt;4,$G$15&lt;=0),"",ROUND(MIN(1.5,1+(100*G40/(G14*G29))/(3+100*G40/(G14*G29))),2))))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t="str">
        <f>IF(OR(COUNT($G$12,$G$14,$G$15,$G$17)&lt;4,$G$15&lt;=0),"",IF(OR(NOT(ISNUMBER($G$29)),$G$29&lt;=0),"CHECK DEPTH",IF(OR(COUNT($G$12,$G$14,$G$15,$G$17)&lt;4,$G$15&lt;=0),"",IF(INDEX('Section A Transfer Beam'!$U$6:$U$25,$T$13-5)="","",INDEX('Section A Transfer Beam'!$W$6:$W$25,$T$13-5)))))</f>
        <v/>
      </c>
      <c r="H85" s="116"/>
      <c r="I85" s="116"/>
      <c r="J85" s="116"/>
      <c r="K85" s="116"/>
      <c r="L85" s="116"/>
      <c r="M85" s="116"/>
      <c r="N85" s="545" t="str">
        <f>IF(OR(COUNT($G$12,$G$14,$G$15,$G$17)&lt;4,$G$15&lt;=0),"","Linked: "&amp;INDEX('Section A Transfer Beam'!$U$6:$U$25,$T$13-5))</f>
        <v/>
      </c>
      <c r="O85" s="546"/>
    </row>
    <row r="86" spans="1:16" ht="19.5" customHeight="1">
      <c r="A86" s="116"/>
      <c r="B86" s="278" t="s">
        <v>643</v>
      </c>
      <c r="C86" s="120"/>
      <c r="D86" s="120"/>
      <c r="E86" s="116"/>
      <c r="F86" s="274" t="s">
        <v>573</v>
      </c>
      <c r="G86" s="300" t="str">
        <f>IF(OR(COUNT($G$12,$G$14,$G$15,$G$17)&lt;4,$G$15&lt;=0),"",IF(OR(NOT(ISNUMBER($G$29)),$G$29&lt;=0),"CHECK DEPTH",IF(OR(COUNT($G$12,$G$14,$G$15,$G$17)&lt;4,$G$15&lt;=0),"",IF(G44=0,0,G85*G84*G83*MIN(1,10/G12)))))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IF(OR(COUNT($G$12,$G$14,$G$15,$G$17)&lt;4,$G$15&lt;=0),"",IF(OR(NOT(ISNUMBER($G$29)),$G$29&lt;=0),"CHECK DEPTH",IF(OR(COUNT($G$12,$G$14,$G$15,$G$17)&lt;4,$G$15&lt;=0),"",ROUND(G12*1000/G29,2))))</f>
        <v/>
      </c>
      <c r="H87" s="116"/>
      <c r="I87" s="116"/>
      <c r="J87" s="274" t="str">
        <f>IF(OR(COUNT($G$12,$G$14,$G$15,$G$17)&lt;4,$G$15&lt;=0),"",IF(G87&gt;G86,"&gt;","&lt;"))</f>
        <v/>
      </c>
      <c r="K87" s="547" t="str">
        <f>IF(OR(COUNT($G$12,$G$14,$G$15,$G$17)&lt;4,$G$15&lt;=0),"",G86)</f>
        <v/>
      </c>
      <c r="L87" s="548"/>
      <c r="M87" s="127"/>
      <c r="N87" s="286" t="str">
        <f>IF(OR(COUNT($G$12,$G$14,$G$15,$G$17)&lt;4,$G$15&lt;=0),"",IF(G86&lt;G87,"NOT OKAY","OKAY"))</f>
        <v/>
      </c>
      <c r="O87" s="132"/>
    </row>
    <row r="88" spans="1:16" ht="7.95" customHeight="1">
      <c r="A88" s="116"/>
      <c r="B88" s="116"/>
      <c r="C88" s="116"/>
      <c r="D88" s="116"/>
      <c r="E88" s="116"/>
      <c r="F88" s="116"/>
      <c r="G88" s="116"/>
      <c r="H88" s="116"/>
      <c r="I88" s="116"/>
      <c r="J88" s="116"/>
      <c r="K88" s="116"/>
      <c r="L88" s="116"/>
      <c r="M88" s="116"/>
      <c r="N88" s="538" t="str">
        <f>IF(OR(COUNT($G$12,$G$14,$G$15,$G$17)&lt;4,$G$15&lt;=0),"",IF(K87&gt;G87,"","Reduce L/d ratio"))</f>
        <v/>
      </c>
      <c r="O88" s="539"/>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9" t="s">
        <v>651</v>
      </c>
      <c r="B104" s="521"/>
      <c r="C104" s="521"/>
      <c r="D104" s="521"/>
      <c r="E104" s="521"/>
      <c r="F104" s="521"/>
      <c r="G104" s="521"/>
      <c r="H104" s="521"/>
      <c r="I104" s="521"/>
      <c r="J104" s="521"/>
      <c r="K104" s="521"/>
      <c r="L104" s="521"/>
      <c r="M104" s="521"/>
      <c r="N104" s="521"/>
      <c r="O104" s="521"/>
    </row>
    <row r="105" spans="1:16" ht="19.5" customHeight="1" outlineLevel="1">
      <c r="A105" s="116"/>
      <c r="B105" s="553" t="s">
        <v>1008</v>
      </c>
      <c r="C105" s="539"/>
      <c r="D105" s="539"/>
      <c r="E105" s="539"/>
      <c r="F105" s="539"/>
      <c r="G105" s="539"/>
      <c r="H105" s="539"/>
      <c r="I105" s="539"/>
      <c r="J105" s="539"/>
      <c r="K105" s="539"/>
      <c r="L105" s="539"/>
      <c r="M105" s="539"/>
      <c r="N105" s="539"/>
      <c r="O105" s="539"/>
    </row>
    <row r="106" spans="1:16" ht="19.5" customHeight="1" outlineLevel="1">
      <c r="A106" s="287" t="s">
        <v>1088</v>
      </c>
      <c r="B106" s="539"/>
      <c r="C106" s="539"/>
      <c r="D106" s="539"/>
      <c r="E106" s="539"/>
      <c r="F106" s="539"/>
      <c r="G106" s="539"/>
      <c r="H106" s="539"/>
      <c r="I106" s="539"/>
      <c r="J106" s="539"/>
      <c r="K106" s="539"/>
      <c r="L106" s="539"/>
      <c r="M106" s="539"/>
      <c r="N106" s="539"/>
      <c r="O106" s="539"/>
    </row>
    <row r="107" spans="1:16" ht="19.5" customHeight="1" outlineLevel="1">
      <c r="A107" s="287" t="s">
        <v>652</v>
      </c>
      <c r="B107" s="539"/>
      <c r="C107" s="539"/>
      <c r="D107" s="539"/>
      <c r="E107" s="539"/>
      <c r="F107" s="539"/>
      <c r="G107" s="539"/>
      <c r="H107" s="539"/>
      <c r="I107" s="539"/>
      <c r="J107" s="539"/>
      <c r="K107" s="539"/>
      <c r="L107" s="539"/>
      <c r="M107" s="539"/>
      <c r="N107" s="539"/>
      <c r="O107" s="539"/>
    </row>
    <row r="108" spans="1:16" ht="19.5" customHeight="1" outlineLevel="1">
      <c r="A108" s="116"/>
      <c r="B108" s="539"/>
      <c r="C108" s="539"/>
      <c r="D108" s="539"/>
      <c r="E108" s="539"/>
      <c r="F108" s="539"/>
      <c r="G108" s="539"/>
      <c r="H108" s="539"/>
      <c r="I108" s="539"/>
      <c r="J108" s="539"/>
      <c r="K108" s="539"/>
      <c r="L108" s="539"/>
      <c r="M108" s="539"/>
      <c r="N108" s="539"/>
      <c r="O108" s="539"/>
    </row>
    <row r="109" spans="1:16" ht="19.5" customHeight="1" outlineLevel="1">
      <c r="A109" s="557" t="s">
        <v>653</v>
      </c>
      <c r="B109" s="558"/>
      <c r="C109" s="301" t="s">
        <v>654</v>
      </c>
      <c r="D109" s="301" t="s">
        <v>655</v>
      </c>
      <c r="E109" s="557" t="s">
        <v>656</v>
      </c>
      <c r="F109" s="558"/>
      <c r="G109" s="558"/>
      <c r="H109" s="558"/>
      <c r="I109" s="116"/>
      <c r="J109" s="116"/>
      <c r="K109" s="116"/>
      <c r="L109" s="116"/>
      <c r="M109" s="116"/>
      <c r="N109" s="116"/>
      <c r="O109" s="116"/>
    </row>
    <row r="110" spans="1:16" ht="19.5" customHeight="1" outlineLevel="1">
      <c r="A110" s="527" t="s">
        <v>657</v>
      </c>
      <c r="B110" s="526"/>
      <c r="C110" s="304"/>
      <c r="D110" s="305"/>
      <c r="E110" s="544" t="str">
        <f t="shared" ref="E110:E117" si="22">IF(P110="","",P110)</f>
        <v/>
      </c>
      <c r="F110" s="526"/>
      <c r="G110" s="526"/>
      <c r="H110" s="526"/>
      <c r="I110" s="116"/>
      <c r="J110" s="116"/>
      <c r="K110" s="116"/>
      <c r="L110" s="116"/>
      <c r="M110" s="116"/>
      <c r="N110" s="116"/>
      <c r="O110" s="116"/>
      <c r="P110" s="70" t="str">
        <f>BeamLayerDepth(40,4,$C$40:$D$47,$C$110:$D$117,$G$14:$G$16,$G$58)</f>
        <v/>
      </c>
    </row>
    <row r="111" spans="1:16" ht="19.5" customHeight="1" outlineLevel="1">
      <c r="A111" s="527" t="s">
        <v>658</v>
      </c>
      <c r="B111" s="526"/>
      <c r="C111" s="304"/>
      <c r="D111" s="305"/>
      <c r="E111" s="544" t="str">
        <f t="shared" si="22"/>
        <v/>
      </c>
      <c r="F111" s="526"/>
      <c r="G111" s="526"/>
      <c r="H111" s="526"/>
      <c r="I111" s="116"/>
      <c r="J111" s="116"/>
      <c r="K111" s="116"/>
      <c r="L111" s="116"/>
      <c r="M111" s="116"/>
      <c r="N111" s="116"/>
      <c r="O111" s="116"/>
      <c r="P111" s="70" t="str">
        <f>BeamLayerDepth(40,5,$C$40:$D$47,$C$110:$D$117,$G$14:$G$16,$G$58)</f>
        <v/>
      </c>
    </row>
    <row r="112" spans="1:16" ht="19.5" customHeight="1" outlineLevel="1">
      <c r="A112" s="527" t="s">
        <v>659</v>
      </c>
      <c r="B112" s="526"/>
      <c r="C112" s="304"/>
      <c r="D112" s="305"/>
      <c r="E112" s="544" t="str">
        <f t="shared" si="22"/>
        <v/>
      </c>
      <c r="F112" s="526"/>
      <c r="G112" s="526"/>
      <c r="H112" s="526"/>
      <c r="I112" s="116"/>
      <c r="J112" s="116"/>
      <c r="K112" s="116"/>
      <c r="L112" s="116"/>
      <c r="M112" s="116"/>
      <c r="N112" s="116"/>
      <c r="O112" s="116"/>
      <c r="P112" s="70" t="str">
        <f>BeamLayerDepth(40,6,$C$40:$D$47,$C$110:$D$117,$G$14:$G$16,$G$58)</f>
        <v/>
      </c>
    </row>
    <row r="113" spans="1:16" ht="19.5" customHeight="1" outlineLevel="1">
      <c r="A113" s="527" t="s">
        <v>660</v>
      </c>
      <c r="B113" s="526"/>
      <c r="C113" s="304"/>
      <c r="D113" s="305"/>
      <c r="E113" s="544" t="str">
        <f t="shared" si="22"/>
        <v/>
      </c>
      <c r="F113" s="526"/>
      <c r="G113" s="526"/>
      <c r="H113" s="526"/>
      <c r="I113" s="116"/>
      <c r="J113" s="116"/>
      <c r="K113" s="116"/>
      <c r="L113" s="116"/>
      <c r="M113" s="116"/>
      <c r="N113" s="116"/>
      <c r="O113" s="116"/>
      <c r="P113" s="70" t="str">
        <f>BeamLayerDepth(40,7,$C$40:$D$47,$C$110:$D$117,$G$14:$G$16,$G$58)</f>
        <v/>
      </c>
    </row>
    <row r="114" spans="1:16" ht="19.5" customHeight="1" outlineLevel="1">
      <c r="A114" s="527" t="s">
        <v>661</v>
      </c>
      <c r="B114" s="526"/>
      <c r="C114" s="304"/>
      <c r="D114" s="305"/>
      <c r="E114" s="544" t="str">
        <f t="shared" si="22"/>
        <v/>
      </c>
      <c r="F114" s="526"/>
      <c r="G114" s="526"/>
      <c r="H114" s="526"/>
      <c r="I114" s="116"/>
      <c r="J114" s="116"/>
      <c r="K114" s="116"/>
      <c r="L114" s="116"/>
      <c r="M114" s="116"/>
      <c r="N114" s="116"/>
      <c r="O114" s="116"/>
      <c r="P114" s="70" t="str">
        <f>BeamLayerDepth(44,4,$C$40:$D$47,$C$110:$D$117,$G$14:$G$16,$G$58)</f>
        <v/>
      </c>
    </row>
    <row r="115" spans="1:16" ht="19.5" customHeight="1" outlineLevel="1">
      <c r="A115" s="527" t="s">
        <v>662</v>
      </c>
      <c r="B115" s="526"/>
      <c r="C115" s="304"/>
      <c r="D115" s="305"/>
      <c r="E115" s="544" t="str">
        <f t="shared" si="22"/>
        <v/>
      </c>
      <c r="F115" s="526"/>
      <c r="G115" s="526"/>
      <c r="H115" s="526"/>
      <c r="I115" s="116"/>
      <c r="J115" s="116"/>
      <c r="K115" s="116"/>
      <c r="L115" s="116"/>
      <c r="M115" s="116"/>
      <c r="N115" s="116"/>
      <c r="O115" s="116"/>
      <c r="P115" s="70" t="str">
        <f>BeamLayerDepth(44,5,$C$40:$D$47,$C$110:$D$117,$G$14:$G$16,$G$58)</f>
        <v/>
      </c>
    </row>
    <row r="116" spans="1:16" ht="19.5" customHeight="1" outlineLevel="1">
      <c r="A116" s="527" t="s">
        <v>663</v>
      </c>
      <c r="B116" s="526"/>
      <c r="C116" s="304"/>
      <c r="D116" s="305"/>
      <c r="E116" s="544" t="str">
        <f t="shared" si="22"/>
        <v/>
      </c>
      <c r="F116" s="526"/>
      <c r="G116" s="526"/>
      <c r="H116" s="526"/>
      <c r="I116" s="116"/>
      <c r="J116" s="116"/>
      <c r="K116" s="116"/>
      <c r="L116" s="116"/>
      <c r="M116" s="116"/>
      <c r="N116" s="116"/>
      <c r="O116" s="116"/>
      <c r="P116" s="70" t="str">
        <f>BeamLayerDepth(44,6,$C$40:$D$47,$C$110:$D$117,$G$14:$G$16,$G$58)</f>
        <v/>
      </c>
    </row>
    <row r="117" spans="1:16" ht="19.5" customHeight="1" outlineLevel="1">
      <c r="A117" s="527" t="s">
        <v>664</v>
      </c>
      <c r="B117" s="526"/>
      <c r="C117" s="304"/>
      <c r="D117" s="305"/>
      <c r="E117" s="544" t="str">
        <f t="shared" si="22"/>
        <v/>
      </c>
      <c r="F117" s="526"/>
      <c r="G117" s="526"/>
      <c r="H117" s="526"/>
      <c r="I117" s="116"/>
      <c r="J117" s="116"/>
      <c r="K117" s="116"/>
      <c r="L117" s="116"/>
      <c r="M117" s="116"/>
      <c r="N117" s="116"/>
      <c r="O117" s="116"/>
      <c r="P117" s="70" t="str">
        <f>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7" t="str">
        <f>IF(BeamGroupsFit($C$40:$D$47,$C$110:$D$117,$G$14:$G$16,$G$58),"Steel groups: clear","Steel groups: NOT OKAY - overlap / insufficient clear gap")</f>
        <v>Steel groups: NOT OKAY - overlap / insufficient clear gap</v>
      </c>
      <c r="B119" s="526"/>
      <c r="C119" s="526"/>
      <c r="D119" s="526"/>
      <c r="E119" s="526"/>
      <c r="F119" s="526"/>
      <c r="G119" s="526"/>
      <c r="H119" s="526"/>
      <c r="I119" s="526"/>
      <c r="J119" s="526"/>
      <c r="K119" s="526"/>
      <c r="L119" s="526"/>
      <c r="M119" s="526"/>
      <c r="N119" s="526"/>
      <c r="O119" s="526"/>
    </row>
    <row r="120" spans="1:16" ht="19.5" customHeight="1">
      <c r="A120" s="116"/>
      <c r="B120" s="140"/>
      <c r="C120" s="140"/>
      <c r="D120" s="140"/>
      <c r="E120" s="140"/>
      <c r="F120" s="140"/>
      <c r="G120" s="140"/>
      <c r="H120" s="140"/>
      <c r="I120" s="140"/>
      <c r="J120" s="140"/>
      <c r="K120" s="140"/>
      <c r="L120" s="140"/>
      <c r="M120" s="140"/>
      <c r="N120" s="140"/>
      <c r="O120" s="116"/>
    </row>
    <row r="121" spans="1:16" ht="19.5" customHeight="1">
      <c r="A121" s="116"/>
      <c r="B121" s="140"/>
      <c r="C121" s="140"/>
      <c r="D121" s="140"/>
      <c r="E121" s="140"/>
      <c r="F121" s="140"/>
      <c r="G121" s="140"/>
      <c r="H121" s="140"/>
      <c r="I121" s="140"/>
      <c r="J121" s="140"/>
      <c r="K121" s="140"/>
      <c r="L121" s="140"/>
      <c r="M121" s="140"/>
      <c r="N121" s="140"/>
      <c r="O121" s="116"/>
    </row>
    <row r="122" spans="1:16" ht="19.5" customHeight="1">
      <c r="A122" s="116"/>
      <c r="B122" s="140"/>
      <c r="C122" s="140"/>
      <c r="D122" s="140"/>
      <c r="E122" s="140"/>
      <c r="F122" s="140"/>
      <c r="G122" s="140"/>
      <c r="H122" s="140"/>
      <c r="I122" s="140"/>
      <c r="J122" s="140"/>
      <c r="K122" s="140"/>
      <c r="L122" s="140"/>
      <c r="M122" s="140"/>
      <c r="N122" s="140"/>
      <c r="O122" s="116"/>
    </row>
    <row r="123" spans="1:16" ht="19.5" customHeight="1">
      <c r="A123" s="116"/>
      <c r="B123" s="140"/>
      <c r="C123" s="140"/>
      <c r="D123" s="140"/>
      <c r="E123" s="140"/>
      <c r="F123" s="140"/>
      <c r="G123" s="140"/>
      <c r="H123" s="140"/>
      <c r="I123" s="140"/>
      <c r="J123" s="140"/>
      <c r="K123" s="140"/>
      <c r="L123" s="140"/>
      <c r="M123" s="140"/>
      <c r="N123" s="140"/>
      <c r="O123" s="116"/>
    </row>
    <row r="124" spans="1:16" ht="19.5" customHeight="1">
      <c r="A124" s="116"/>
      <c r="B124" s="140"/>
      <c r="C124" s="140"/>
      <c r="D124" s="140"/>
      <c r="E124" s="140"/>
      <c r="F124" s="140"/>
      <c r="G124" s="140"/>
      <c r="H124" s="140"/>
      <c r="I124" s="140"/>
      <c r="J124" s="140"/>
      <c r="K124" s="140"/>
      <c r="L124" s="140"/>
      <c r="M124" s="140"/>
      <c r="N124" s="140"/>
      <c r="O124" s="116"/>
    </row>
    <row r="125" spans="1:16" ht="19.5" customHeight="1">
      <c r="A125" s="116"/>
      <c r="B125" s="140"/>
      <c r="C125" s="140"/>
      <c r="D125" s="140"/>
      <c r="E125" s="140"/>
      <c r="F125" s="140"/>
      <c r="G125" s="140"/>
      <c r="H125" s="140"/>
      <c r="I125" s="140"/>
      <c r="J125" s="140"/>
      <c r="K125" s="140"/>
      <c r="L125" s="140"/>
      <c r="M125" s="140"/>
      <c r="N125" s="140"/>
      <c r="O125" s="116"/>
    </row>
    <row r="126" spans="1:16" ht="19.5" customHeight="1">
      <c r="A126" s="116"/>
      <c r="B126" s="140"/>
      <c r="C126" s="140"/>
      <c r="D126" s="140"/>
      <c r="E126" s="140"/>
      <c r="F126" s="140"/>
      <c r="G126" s="140"/>
      <c r="H126" s="140"/>
      <c r="I126" s="140"/>
      <c r="J126" s="140"/>
      <c r="K126" s="140"/>
      <c r="L126" s="140"/>
      <c r="M126" s="140"/>
      <c r="N126" s="140"/>
      <c r="O126" s="116"/>
    </row>
    <row r="127" spans="1:16" ht="19.5" customHeight="1">
      <c r="A127" s="116"/>
      <c r="B127" s="140"/>
      <c r="C127" s="140"/>
      <c r="D127" s="140"/>
      <c r="E127" s="140"/>
      <c r="F127" s="140"/>
      <c r="G127" s="140"/>
      <c r="H127" s="140"/>
      <c r="I127" s="140"/>
      <c r="J127" s="140"/>
      <c r="K127" s="140"/>
      <c r="L127" s="140"/>
      <c r="M127" s="140"/>
      <c r="N127" s="140"/>
      <c r="O127" s="116"/>
    </row>
    <row r="128" spans="1:16" ht="19.5" customHeight="1">
      <c r="A128" s="116"/>
      <c r="B128" s="140"/>
      <c r="C128" s="140"/>
      <c r="D128" s="140"/>
      <c r="E128" s="140"/>
      <c r="F128" s="140"/>
      <c r="G128" s="140"/>
      <c r="H128" s="140"/>
      <c r="I128" s="140"/>
      <c r="J128" s="140"/>
      <c r="K128" s="140"/>
      <c r="L128" s="140"/>
      <c r="M128" s="140"/>
      <c r="N128" s="140"/>
      <c r="O128" s="116"/>
    </row>
    <row r="129" spans="1:15" ht="19.5" customHeight="1">
      <c r="A129" s="116"/>
      <c r="B129" s="140"/>
      <c r="C129" s="140"/>
      <c r="D129" s="140"/>
      <c r="E129" s="140"/>
      <c r="F129" s="140"/>
      <c r="G129" s="140"/>
      <c r="H129" s="140"/>
      <c r="I129" s="140"/>
      <c r="J129" s="140"/>
      <c r="K129" s="140"/>
      <c r="L129" s="140"/>
      <c r="M129" s="140"/>
      <c r="N129" s="140"/>
      <c r="O129" s="116"/>
    </row>
    <row r="130" spans="1:15" ht="19.5" customHeight="1">
      <c r="A130" s="116"/>
      <c r="B130" s="140"/>
      <c r="C130" s="140"/>
      <c r="D130" s="140"/>
      <c r="E130" s="140"/>
      <c r="F130" s="140"/>
      <c r="G130" s="140"/>
      <c r="H130" s="140"/>
      <c r="I130" s="140"/>
      <c r="J130" s="140"/>
      <c r="K130" s="140"/>
      <c r="L130" s="140"/>
      <c r="M130" s="140"/>
      <c r="N130" s="140"/>
      <c r="O130" s="116"/>
    </row>
    <row r="131" spans="1:15" ht="19.5" customHeight="1">
      <c r="A131" s="116"/>
      <c r="B131" s="140"/>
      <c r="C131" s="140"/>
      <c r="D131" s="140"/>
      <c r="E131" s="140"/>
      <c r="F131" s="140"/>
      <c r="G131" s="140"/>
      <c r="H131" s="140"/>
      <c r="I131" s="140"/>
      <c r="J131" s="140"/>
      <c r="K131" s="140"/>
      <c r="L131" s="140"/>
      <c r="M131" s="140"/>
      <c r="N131" s="140"/>
      <c r="O131" s="116"/>
    </row>
    <row r="132" spans="1:15" ht="19.5" customHeight="1">
      <c r="A132" s="116"/>
      <c r="B132" s="140"/>
      <c r="C132" s="140"/>
      <c r="D132" s="140"/>
      <c r="E132" s="140"/>
      <c r="F132" s="140"/>
      <c r="G132" s="140"/>
      <c r="H132" s="140"/>
      <c r="I132" s="140"/>
      <c r="J132" s="140"/>
      <c r="K132" s="140"/>
      <c r="L132" s="140"/>
      <c r="M132" s="140"/>
      <c r="N132" s="140"/>
      <c r="O132" s="116"/>
    </row>
    <row r="133" spans="1:15" ht="19.5" customHeight="1">
      <c r="A133" s="116"/>
      <c r="B133" s="140"/>
      <c r="C133" s="140"/>
      <c r="D133" s="140"/>
      <c r="E133" s="140"/>
      <c r="F133" s="140"/>
      <c r="G133" s="140"/>
      <c r="H133" s="140"/>
      <c r="I133" s="140"/>
      <c r="J133" s="140"/>
      <c r="K133" s="140"/>
      <c r="L133" s="140"/>
      <c r="M133" s="140"/>
      <c r="N133" s="140"/>
      <c r="O133" s="116"/>
    </row>
    <row r="134" spans="1:15" ht="19.5" customHeight="1">
      <c r="A134" s="116"/>
      <c r="B134" s="140"/>
      <c r="C134" s="140"/>
      <c r="D134" s="140"/>
      <c r="E134" s="140"/>
      <c r="F134" s="140"/>
      <c r="G134" s="140"/>
      <c r="H134" s="140"/>
      <c r="I134" s="140"/>
      <c r="J134" s="140"/>
      <c r="K134" s="140"/>
      <c r="L134" s="140"/>
      <c r="M134" s="140"/>
      <c r="N134" s="140"/>
      <c r="O134" s="116"/>
    </row>
    <row r="135" spans="1:15" ht="19.5" customHeight="1">
      <c r="A135" s="116"/>
      <c r="B135" s="140"/>
      <c r="C135" s="140"/>
      <c r="D135" s="140"/>
      <c r="E135" s="140"/>
      <c r="F135" s="140"/>
      <c r="G135" s="140"/>
      <c r="H135" s="140"/>
      <c r="I135" s="140"/>
      <c r="J135" s="140"/>
      <c r="K135" s="140"/>
      <c r="L135" s="140"/>
      <c r="M135" s="140"/>
      <c r="N135" s="140"/>
      <c r="O135" s="116"/>
    </row>
    <row r="136" spans="1:15" ht="19.5" customHeight="1">
      <c r="A136" s="116"/>
      <c r="B136" s="140"/>
      <c r="C136" s="140"/>
      <c r="D136" s="140"/>
      <c r="E136" s="140"/>
      <c r="F136" s="140"/>
      <c r="G136" s="140"/>
      <c r="H136" s="140"/>
      <c r="I136" s="140"/>
      <c r="J136" s="140"/>
      <c r="K136" s="140"/>
      <c r="L136" s="140"/>
      <c r="M136" s="140"/>
      <c r="N136" s="140"/>
      <c r="O136" s="116"/>
    </row>
    <row r="137" spans="1:15" ht="19.5" customHeight="1">
      <c r="A137" s="116"/>
      <c r="B137" s="140"/>
      <c r="C137" s="140"/>
      <c r="D137" s="140"/>
      <c r="E137" s="140"/>
      <c r="F137" s="140"/>
      <c r="G137" s="140"/>
      <c r="H137" s="140"/>
      <c r="I137" s="140"/>
      <c r="J137" s="140"/>
      <c r="K137" s="140"/>
      <c r="L137" s="140"/>
      <c r="M137" s="140"/>
      <c r="N137" s="140"/>
      <c r="O137" s="116"/>
    </row>
    <row r="138" spans="1:15" ht="19.5" customHeight="1">
      <c r="A138" s="116"/>
      <c r="B138" s="140"/>
      <c r="C138" s="140"/>
      <c r="D138" s="140"/>
      <c r="E138" s="140"/>
      <c r="F138" s="140"/>
      <c r="G138" s="140"/>
      <c r="H138" s="140"/>
      <c r="I138" s="140"/>
      <c r="J138" s="140"/>
      <c r="K138" s="140"/>
      <c r="L138" s="140"/>
      <c r="M138" s="140"/>
      <c r="N138" s="140"/>
      <c r="O138" s="116"/>
    </row>
    <row r="139" spans="1:15" ht="19.5" customHeight="1">
      <c r="A139" s="116"/>
      <c r="B139" s="140"/>
      <c r="C139" s="140"/>
      <c r="D139" s="140"/>
      <c r="E139" s="140"/>
      <c r="F139" s="140"/>
      <c r="G139" s="140"/>
      <c r="H139" s="140"/>
      <c r="I139" s="140"/>
      <c r="J139" s="140"/>
      <c r="K139" s="140"/>
      <c r="L139" s="140"/>
      <c r="M139" s="140"/>
      <c r="N139" s="140"/>
      <c r="O139" s="116"/>
    </row>
    <row r="140" spans="1:15" ht="19.5" customHeight="1">
      <c r="A140" s="116"/>
      <c r="B140" s="140"/>
      <c r="C140" s="140"/>
      <c r="D140" s="140"/>
      <c r="E140" s="140"/>
      <c r="F140" s="140"/>
      <c r="G140" s="140"/>
      <c r="H140" s="140"/>
      <c r="I140" s="140"/>
      <c r="J140" s="140"/>
      <c r="K140" s="140"/>
      <c r="L140" s="140"/>
      <c r="M140" s="140"/>
      <c r="N140" s="140"/>
      <c r="O140" s="116"/>
    </row>
    <row r="141" spans="1:15" ht="19.5" customHeight="1">
      <c r="A141" s="116"/>
      <c r="B141" s="140"/>
      <c r="C141" s="140"/>
      <c r="D141" s="140"/>
      <c r="E141" s="140"/>
      <c r="F141" s="140"/>
      <c r="G141" s="140"/>
      <c r="H141" s="140"/>
      <c r="I141" s="140"/>
      <c r="J141" s="140"/>
      <c r="K141" s="140"/>
      <c r="L141" s="140"/>
      <c r="M141" s="140"/>
      <c r="N141" s="140"/>
      <c r="O141" s="116"/>
    </row>
    <row r="142" spans="1:15" ht="19.5" customHeight="1">
      <c r="A142" s="116"/>
      <c r="B142" s="140"/>
      <c r="C142" s="140"/>
      <c r="D142" s="140"/>
      <c r="E142" s="140"/>
      <c r="F142" s="140"/>
      <c r="G142" s="140"/>
      <c r="H142" s="140"/>
      <c r="I142" s="140"/>
      <c r="J142" s="140"/>
      <c r="K142" s="140"/>
      <c r="L142" s="140"/>
      <c r="M142" s="140"/>
      <c r="N142" s="140"/>
      <c r="O142" s="116"/>
    </row>
    <row r="143" spans="1:15" ht="19.5" customHeight="1">
      <c r="A143" s="116"/>
      <c r="B143" s="140"/>
      <c r="C143" s="140"/>
      <c r="D143" s="140"/>
      <c r="E143" s="140"/>
      <c r="F143" s="140"/>
      <c r="G143" s="140"/>
      <c r="H143" s="140"/>
      <c r="I143" s="140"/>
      <c r="J143" s="140"/>
      <c r="K143" s="140"/>
      <c r="L143" s="140"/>
      <c r="M143" s="140"/>
      <c r="N143" s="140"/>
      <c r="O143" s="116"/>
    </row>
  </sheetData>
  <protectedRanges>
    <protectedRange sqref="T8:T9" name="範圍2"/>
    <protectedRange sqref="C1:H12 G88:G65536 G26:G85 K25:L25 G14:H24 I1:I24 H26:I65536 C14:F83 C85:F65536 F84" name="範圍1" securityDescriptor="O:WDG:WDD:(A;;CC;;;WD)"/>
    <protectedRange sqref="G86:G87" name="範圍1_1" securityDescriptor="O:WDG:WDD:(A;;CC;;;WD)"/>
    <protectedRange sqref="G13" name="範圍1_1_1"/>
    <protectedRange sqref="C84:E84" name="範圍1_2" securityDescriptor="O:WDG:WDD:(A;;CC;;;WD)"/>
  </protectedRanges>
  <mergeCells count="118">
    <mergeCell ref="BR36:CG41"/>
    <mergeCell ref="BR49:CG52"/>
    <mergeCell ref="A110:B110"/>
    <mergeCell ref="E110:H110"/>
    <mergeCell ref="A111:B111"/>
    <mergeCell ref="E111:H111"/>
    <mergeCell ref="A112:B112"/>
    <mergeCell ref="E112:H112"/>
    <mergeCell ref="A104:O104"/>
    <mergeCell ref="A109:B109"/>
    <mergeCell ref="E109:H109"/>
    <mergeCell ref="B105:O108"/>
    <mergeCell ref="N88:O88"/>
    <mergeCell ref="B38:B39"/>
    <mergeCell ref="E38:E39"/>
    <mergeCell ref="F38:F39"/>
    <mergeCell ref="J58:J59"/>
    <mergeCell ref="K58:K59"/>
    <mergeCell ref="B56:B57"/>
    <mergeCell ref="C56:C57"/>
    <mergeCell ref="D56:D57"/>
    <mergeCell ref="F56:F57"/>
    <mergeCell ref="G56:H56"/>
    <mergeCell ref="G57:H57"/>
    <mergeCell ref="A117:B117"/>
    <mergeCell ref="E117:H117"/>
    <mergeCell ref="A119:O119"/>
    <mergeCell ref="A113:B113"/>
    <mergeCell ref="E113:H113"/>
    <mergeCell ref="A114:B114"/>
    <mergeCell ref="E114:H114"/>
    <mergeCell ref="A115:B115"/>
    <mergeCell ref="E115:H115"/>
    <mergeCell ref="B18:D18"/>
    <mergeCell ref="B21:N21"/>
    <mergeCell ref="G25:I25"/>
    <mergeCell ref="B26:D26"/>
    <mergeCell ref="B36:B37"/>
    <mergeCell ref="E36:E37"/>
    <mergeCell ref="F36:F37"/>
    <mergeCell ref="G36:H36"/>
    <mergeCell ref="A116:B116"/>
    <mergeCell ref="E116:H116"/>
    <mergeCell ref="J56:J57"/>
    <mergeCell ref="K56:K57"/>
    <mergeCell ref="G39:H39"/>
    <mergeCell ref="G38:H38"/>
    <mergeCell ref="I38:I39"/>
    <mergeCell ref="E63:E64"/>
    <mergeCell ref="F63:F64"/>
    <mergeCell ref="G63:I63"/>
    <mergeCell ref="J63:J64"/>
    <mergeCell ref="K63:K64"/>
    <mergeCell ref="G64:I64"/>
    <mergeCell ref="B72:B73"/>
    <mergeCell ref="F72:F73"/>
    <mergeCell ref="G72:H72"/>
    <mergeCell ref="J72:J73"/>
    <mergeCell ref="K72:K73"/>
    <mergeCell ref="G73:H73"/>
    <mergeCell ref="B83:E83"/>
    <mergeCell ref="B84:E84"/>
    <mergeCell ref="B74:B75"/>
    <mergeCell ref="E74:E75"/>
    <mergeCell ref="F74:F75"/>
    <mergeCell ref="G75:H75"/>
    <mergeCell ref="J76:J77"/>
    <mergeCell ref="K76:K77"/>
    <mergeCell ref="G74:H74"/>
    <mergeCell ref="J74:J75"/>
    <mergeCell ref="K87:L87"/>
    <mergeCell ref="R22:V22"/>
    <mergeCell ref="R23:V23"/>
    <mergeCell ref="R24:V24"/>
    <mergeCell ref="R26:V26"/>
    <mergeCell ref="R27:V28"/>
    <mergeCell ref="R29:V30"/>
    <mergeCell ref="R31:V32"/>
    <mergeCell ref="R33:V34"/>
    <mergeCell ref="R38:V39"/>
    <mergeCell ref="L74:L75"/>
    <mergeCell ref="L63:L64"/>
    <mergeCell ref="N63:N64"/>
    <mergeCell ref="N38:N39"/>
    <mergeCell ref="N65:N66"/>
    <mergeCell ref="N36:N37"/>
    <mergeCell ref="L38:L39"/>
    <mergeCell ref="K74:K75"/>
    <mergeCell ref="K36:K37"/>
    <mergeCell ref="L36:L37"/>
    <mergeCell ref="K38:K39"/>
    <mergeCell ref="N85:O85"/>
    <mergeCell ref="R40:V41"/>
    <mergeCell ref="N41:O41"/>
    <mergeCell ref="CB44:CG44"/>
    <mergeCell ref="CB45:CG45"/>
    <mergeCell ref="B2:N2"/>
    <mergeCell ref="B5:N5"/>
    <mergeCell ref="J9:K9"/>
    <mergeCell ref="BR9:CG10"/>
    <mergeCell ref="BR11:BW11"/>
    <mergeCell ref="BX11:CG11"/>
    <mergeCell ref="J36:J37"/>
    <mergeCell ref="G37:H37"/>
    <mergeCell ref="J38:J39"/>
    <mergeCell ref="B19:D19"/>
    <mergeCell ref="R16:S16"/>
    <mergeCell ref="T16:U16"/>
    <mergeCell ref="B6:O6"/>
    <mergeCell ref="N45:O45"/>
    <mergeCell ref="BR43:CG43"/>
    <mergeCell ref="BR44:BT44"/>
    <mergeCell ref="BR45:BT45"/>
    <mergeCell ref="BX44:CA44"/>
    <mergeCell ref="BX45:CA45"/>
    <mergeCell ref="BU44:BW44"/>
    <mergeCell ref="BU45:BW45"/>
    <mergeCell ref="B11:N11"/>
  </mergeCells>
  <phoneticPr fontId="10" type="noConversion"/>
  <conditionalFormatting sqref="T21 N87 N61 N63:N64 N44 N70 N77:N78 N59 N49 N51:N57 N27 N30:N40 N69:O69 P37 P35 N82:N85">
    <cfRule type="cellIs" dxfId="10" priority="1" stopIfTrue="1" operator="equal">
      <formula>"NOT OKAY"</formula>
    </cfRule>
  </conditionalFormatting>
  <dataValidations count="13">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CB44" xr:uid="{A56DB98B-63FA-4909-B637-5705700B6986}">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296C33DB-1C1D-4B39-9274-C4CF1A850262}">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41565AC5-814C-42C6-A785-E402B19A4EEE}">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BU44" xr:uid="{B1F5CB5A-FF06-4B9F-BB8E-D45906207B01}">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5BA5AD0C-1F23-4B16-8DE2-61471603AAFD}">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BU45" xr:uid="{5F06088B-B495-4AED-8EE7-A974D562A4F8}">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CFDD13BB-C06B-4E07-9CDF-C2EDA1606358}">
      <formula1>"2,4,6,8,10"</formula1>
    </dataValidation>
    <dataValidation type="list" allowBlank="1" showInputMessage="1" showErrorMessage="1" sqref="G1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WVO983057" xr:uid="{EF3DD5CC-3D21-4880-8DE2-229C7617CCBD}">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C0219A20-AE80-4A61-9505-2DA259F6A0C9}">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862C6D97-5A0A-41EF-AE66-EF27A5E3E84A}">
      <formula1>"2,3,4,5,6,7,8,9,10,11,12,13,14"</formula1>
    </dataValidation>
    <dataValidation type="whole" allowBlank="1" showInputMessage="1" showErrorMessage="1" sqref="T13 L9" xr:uid="{7EF41806-A706-4938-8C4C-ED9DDB000F85}">
      <formula1>6</formula1>
      <formula2>25</formula2>
    </dataValidation>
    <dataValidation type="decimal" operator="greaterThanOrEqual" allowBlank="1" showInputMessage="1" showErrorMessage="1" sqref="G13 G16" xr:uid="{09C77D27-F538-4CEA-9751-E2BCD08B1410}">
      <formula1>0</formula1>
    </dataValidation>
    <dataValidation type="list" allowBlank="1" showInputMessage="1" showErrorMessage="1" sqref="T16:U16" xr:uid="{0386E6F0-5E01-43B2-97E4-EDD7BBFF198D}">
      <formula1>"Auto,Manual"</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9725B-CE00-4F11-A722-D6D092274F83}">
  <sheetPr codeName="Sheet10">
    <tabColor rgb="FF205E73"/>
    <pageSetUpPr fitToPage="1"/>
  </sheetPr>
  <dimension ref="A1:P72"/>
  <sheetViews>
    <sheetView showGridLines="0" topLeftCell="A31" zoomScale="90" zoomScaleNormal="90" workbookViewId="0">
      <selection sqref="A1:E1"/>
    </sheetView>
  </sheetViews>
  <sheetFormatPr defaultRowHeight="13.8"/>
  <cols>
    <col min="1" max="1" width="37.69921875" customWidth="1"/>
    <col min="2" max="2" width="3.69921875" customWidth="1"/>
    <col min="3" max="3" width="25.69921875" customWidth="1"/>
    <col min="4" max="4" width="3.69921875" customWidth="1"/>
    <col min="5" max="5" width="57.69921875" customWidth="1"/>
    <col min="6" max="6" width="3.69921875" customWidth="1"/>
    <col min="7" max="7" width="3.69921875" hidden="1" customWidth="1"/>
    <col min="8" max="12" width="16.69921875" hidden="1" customWidth="1"/>
    <col min="13" max="21" width="10.69921875" customWidth="1"/>
  </cols>
  <sheetData>
    <row r="1" spans="1:12" ht="28.05" customHeight="1">
      <c r="A1" s="408" t="s">
        <v>1018</v>
      </c>
      <c r="B1" s="408"/>
      <c r="C1" s="408"/>
      <c r="D1" s="408"/>
      <c r="E1" s="408"/>
      <c r="F1" s="140"/>
      <c r="G1" s="140"/>
      <c r="H1" s="140"/>
      <c r="I1" s="140"/>
      <c r="J1" s="140"/>
      <c r="K1" s="140"/>
      <c r="L1" s="140"/>
    </row>
    <row r="2" spans="1:12" ht="6" customHeight="1">
      <c r="A2" s="140"/>
      <c r="B2" s="140"/>
      <c r="C2" s="140"/>
      <c r="D2" s="140"/>
      <c r="E2" s="140"/>
      <c r="F2" s="140"/>
      <c r="G2" s="140"/>
      <c r="H2" s="140"/>
      <c r="I2" s="140"/>
      <c r="J2" s="140"/>
      <c r="K2" s="140"/>
      <c r="L2" s="140"/>
    </row>
    <row r="3" spans="1:12" ht="36" customHeight="1">
      <c r="A3" s="138" t="s">
        <v>714</v>
      </c>
      <c r="B3" s="140"/>
      <c r="C3" s="319">
        <f>IF(ISNUMBER(I26),I26,"")</f>
        <v>8000</v>
      </c>
      <c r="D3" s="140"/>
      <c r="E3" s="138" t="s">
        <v>737</v>
      </c>
      <c r="F3" s="138"/>
      <c r="G3" s="138"/>
      <c r="H3" s="412" t="s">
        <v>1011</v>
      </c>
      <c r="I3" s="412"/>
      <c r="J3" s="412"/>
      <c r="K3" s="412"/>
      <c r="L3" s="412"/>
    </row>
    <row r="4" spans="1:12" ht="36" customHeight="1">
      <c r="A4" s="138" t="s">
        <v>541</v>
      </c>
      <c r="B4" s="140"/>
      <c r="C4" s="320" t="s">
        <v>533</v>
      </c>
      <c r="D4" s="140"/>
      <c r="E4" s="138" t="s">
        <v>544</v>
      </c>
      <c r="F4" s="138"/>
      <c r="G4" s="138"/>
      <c r="H4" s="140"/>
      <c r="I4" s="140"/>
      <c r="J4" s="140"/>
      <c r="K4" s="140"/>
      <c r="L4" s="140"/>
    </row>
    <row r="5" spans="1:12" ht="36" customHeight="1">
      <c r="A5" s="138" t="s">
        <v>715</v>
      </c>
      <c r="B5" s="140"/>
      <c r="C5" s="319">
        <f>IF(NOT(ISNUMBER(C30)),"",IF(L16="OK",H16,IF(L17="OK",H17,IF(L18="OK",H18,""))))</f>
        <v>32</v>
      </c>
      <c r="D5" s="140"/>
      <c r="E5" s="138" t="s">
        <v>716</v>
      </c>
      <c r="F5" s="138"/>
      <c r="G5" s="138"/>
      <c r="H5" s="140"/>
      <c r="I5" s="140"/>
      <c r="J5" s="140"/>
      <c r="K5" s="140"/>
      <c r="L5" s="140"/>
    </row>
    <row r="6" spans="1:12" ht="40.049999999999997" customHeight="1">
      <c r="A6" s="138" t="s">
        <v>542</v>
      </c>
      <c r="B6" s="140"/>
      <c r="C6" s="321">
        <v>1</v>
      </c>
      <c r="D6" s="140"/>
      <c r="E6" s="138" t="s">
        <v>717</v>
      </c>
      <c r="F6" s="138"/>
      <c r="G6" s="138"/>
      <c r="H6" s="140"/>
      <c r="I6" s="140"/>
      <c r="J6" s="140"/>
      <c r="K6" s="140"/>
      <c r="L6" s="140"/>
    </row>
    <row r="7" spans="1:12" ht="24" customHeight="1">
      <c r="A7" s="140" t="s">
        <v>543</v>
      </c>
      <c r="B7" s="140"/>
      <c r="C7" s="140" t="str">
        <f>IF(C4="","Braced",IF(OR(C4="Braced",C4="Unbraced"),C4,"INVALID SYSTEM"))</f>
        <v>Braced</v>
      </c>
      <c r="D7" s="140"/>
      <c r="E7" s="138" t="s">
        <v>545</v>
      </c>
      <c r="F7" s="140"/>
      <c r="G7" s="140"/>
      <c r="H7" s="140"/>
      <c r="I7" s="140"/>
      <c r="J7" s="140"/>
      <c r="K7" s="140"/>
      <c r="L7" s="140"/>
    </row>
    <row r="8" spans="1:12" ht="24" customHeight="1">
      <c r="A8" s="140"/>
      <c r="B8" s="140"/>
      <c r="C8" s="140"/>
      <c r="D8" s="140"/>
      <c r="E8" s="138"/>
      <c r="F8" s="140"/>
      <c r="G8" s="140"/>
      <c r="H8" s="140"/>
      <c r="I8" s="140"/>
      <c r="J8" s="140"/>
      <c r="K8" s="140"/>
      <c r="L8" s="140"/>
    </row>
    <row r="9" spans="1:12" ht="24" customHeight="1">
      <c r="A9" s="552" t="s">
        <v>1015</v>
      </c>
      <c r="B9" s="412"/>
      <c r="C9" s="412"/>
      <c r="D9" s="412"/>
      <c r="E9" s="412"/>
      <c r="F9" s="140"/>
      <c r="G9" s="140"/>
      <c r="H9" s="140"/>
      <c r="I9" s="140"/>
      <c r="J9" s="140"/>
      <c r="K9" s="140"/>
      <c r="L9" s="140"/>
    </row>
    <row r="10" spans="1:12" ht="24" customHeight="1">
      <c r="A10" s="412"/>
      <c r="B10" s="412"/>
      <c r="C10" s="412"/>
      <c r="D10" s="412"/>
      <c r="E10" s="412"/>
      <c r="F10" s="140"/>
      <c r="G10" s="140"/>
      <c r="H10" s="140"/>
      <c r="I10" s="140"/>
      <c r="J10" s="140"/>
      <c r="K10" s="140"/>
      <c r="L10" s="140"/>
    </row>
    <row r="11" spans="1:12" ht="31.95" customHeight="1">
      <c r="A11" s="140"/>
      <c r="B11" s="140"/>
      <c r="C11" s="140"/>
      <c r="D11" s="140"/>
      <c r="E11" s="138"/>
      <c r="F11" s="140"/>
      <c r="G11" s="140"/>
      <c r="H11" s="140"/>
      <c r="I11" s="140"/>
      <c r="J11" s="140"/>
      <c r="K11" s="140"/>
      <c r="L11" s="140"/>
    </row>
    <row r="12" spans="1:12" ht="24" customHeight="1">
      <c r="A12" s="408" t="s">
        <v>1104</v>
      </c>
      <c r="B12" s="408"/>
      <c r="C12" s="408"/>
      <c r="D12" s="408"/>
      <c r="E12" s="410"/>
      <c r="F12" s="140"/>
      <c r="G12" s="140"/>
      <c r="H12" s="140"/>
      <c r="I12" s="140"/>
      <c r="J12" s="140"/>
      <c r="K12" s="140"/>
      <c r="L12" s="140"/>
    </row>
    <row r="13" spans="1:12" ht="36" customHeight="1">
      <c r="A13" s="140" t="s">
        <v>84</v>
      </c>
      <c r="B13" s="140"/>
      <c r="C13" s="315" t="str">
        <f>IF('Section A Column Loading'!B4="","",'Section A Column Loading'!B4)</f>
        <v>C1</v>
      </c>
      <c r="D13" s="140"/>
      <c r="E13" s="138"/>
      <c r="F13" s="140"/>
      <c r="G13" s="140"/>
      <c r="H13" s="412" t="s">
        <v>520</v>
      </c>
      <c r="I13" s="412"/>
      <c r="J13" s="412"/>
      <c r="K13" s="412"/>
      <c r="L13" s="412"/>
    </row>
    <row r="14" spans="1:12" ht="36" customHeight="1">
      <c r="A14" s="140" t="s">
        <v>493</v>
      </c>
      <c r="B14" s="140"/>
      <c r="C14" s="315">
        <f>IF('RC Column Inputs'!B4="",IF(ISNUMBER('Section A Column Loading'!B5),IF('Section A Column Loading'!B5&gt;0,'Section A Column Loading'!B5,""),""),IF(AND(ISNUMBER('RC Column Inputs'!B4),'RC Column Inputs'!B4&gt;0),'RC Column Inputs'!B4,""))</f>
        <v>900</v>
      </c>
      <c r="D14" s="140"/>
      <c r="E14" s="138"/>
      <c r="F14" s="140"/>
      <c r="G14" s="140"/>
      <c r="H14" s="140"/>
      <c r="I14" s="140"/>
      <c r="J14" s="140"/>
      <c r="K14" s="140"/>
      <c r="L14" s="140"/>
    </row>
    <row r="15" spans="1:12" ht="36" customHeight="1">
      <c r="A15" s="140" t="s">
        <v>494</v>
      </c>
      <c r="B15" s="140"/>
      <c r="C15" s="315">
        <f>IF('RC Column Inputs'!B5="",IF(ISNUMBER('Section A Column Loading'!B6),IF('Section A Column Loading'!B6&gt;0,'Section A Column Loading'!B6,""),""),IF(AND(ISNUMBER('RC Column Inputs'!B5),'RC Column Inputs'!B5&gt;0),'RC Column Inputs'!B5,""))</f>
        <v>900</v>
      </c>
      <c r="D15" s="140"/>
      <c r="E15" s="138"/>
      <c r="F15" s="140"/>
      <c r="G15" s="140"/>
      <c r="H15" s="172" t="s">
        <v>521</v>
      </c>
      <c r="I15" s="172" t="s">
        <v>522</v>
      </c>
      <c r="J15" s="172" t="s">
        <v>523</v>
      </c>
      <c r="K15" s="172" t="s">
        <v>524</v>
      </c>
      <c r="L15" s="172" t="s">
        <v>525</v>
      </c>
    </row>
    <row r="16" spans="1:12" ht="22.95" customHeight="1">
      <c r="A16" s="140" t="s">
        <v>534</v>
      </c>
      <c r="B16" s="140"/>
      <c r="C16" s="315">
        <f>IF(C3="",I26,IF(AND(ISNUMBER(C3),C3&gt;0),C3,""))</f>
        <v>8000</v>
      </c>
      <c r="D16" s="140"/>
      <c r="E16" s="138" t="s">
        <v>718</v>
      </c>
      <c r="F16" s="140"/>
      <c r="G16" s="140"/>
      <c r="H16" s="173">
        <v>32</v>
      </c>
      <c r="I16" s="173">
        <f>IF(ISNUMBER($C$30),MAX(4,4*ROUNDUP($C$30/(PI()*H16^2/4)/4,0)),"")</f>
        <v>28</v>
      </c>
      <c r="J16" s="318">
        <f>IF(ISNUMBER(I16),I16*PI()*H16^2/4,"")</f>
        <v>22518.936140931637</v>
      </c>
      <c r="K16" s="317">
        <f>IF(ISNUMBER(J16),100*J16/$C$29,"")</f>
        <v>2.7801155729545228</v>
      </c>
      <c r="L16" s="140" t="str">
        <f>IF(ISNUMBER(K16),IF(AND(J16&gt;=$C$30,K16&lt;=6),"OK","REVIEW"),"")</f>
        <v>OK</v>
      </c>
    </row>
    <row r="17" spans="1:12" ht="24" customHeight="1">
      <c r="A17" s="140" t="s">
        <v>495</v>
      </c>
      <c r="B17" s="140"/>
      <c r="C17" s="315">
        <f>IF(C6="",1,IF(AND(ISNUMBER(C6),C6&gt;0),C6,""))</f>
        <v>1</v>
      </c>
      <c r="D17" s="140"/>
      <c r="E17" s="138"/>
      <c r="F17" s="140"/>
      <c r="G17" s="140"/>
      <c r="H17" s="173">
        <v>25</v>
      </c>
      <c r="I17" s="173">
        <f>IF(ISNUMBER($C$30),MAX(4,4*ROUNDUP($C$30/(PI()*H17^2/4)/4,0)),"")</f>
        <v>44</v>
      </c>
      <c r="J17" s="318">
        <f>IF(ISNUMBER(I17),I17*PI()*H17^2/4,"")</f>
        <v>21598.449493429827</v>
      </c>
      <c r="K17" s="317">
        <f>IF(ISNUMBER(J17),100*J17/$C$29,"")</f>
        <v>2.6664752461024479</v>
      </c>
      <c r="L17" s="140" t="str">
        <f>IF(ISNUMBER(K17),IF(AND(J17&gt;=$C$30,K17&lt;=6),"OK","REVIEW"),"")</f>
        <v>OK</v>
      </c>
    </row>
    <row r="18" spans="1:12" ht="22.95" customHeight="1">
      <c r="A18" s="140" t="s">
        <v>496</v>
      </c>
      <c r="B18" s="140"/>
      <c r="C18" s="315">
        <f>IF(AND(COUNT(C16:C17)=2,C16&gt;0,C17&gt;0),C16*C17,"")</f>
        <v>8000</v>
      </c>
      <c r="D18" s="140"/>
      <c r="E18" s="138"/>
      <c r="F18" s="140"/>
      <c r="G18" s="140"/>
      <c r="H18" s="173">
        <v>40</v>
      </c>
      <c r="I18" s="173">
        <f>IF(ISNUMBER($C$30),MAX(4,4*ROUNDUP($C$30/(PI()*H18^2/4)/4,0)),"")</f>
        <v>20</v>
      </c>
      <c r="J18" s="318">
        <f>IF(ISNUMBER(I18),I18*PI()*H18^2/4,"")</f>
        <v>25132.741228718343</v>
      </c>
      <c r="K18" s="317">
        <f>IF(ISNUMBER(J18),100*J18/$C$29,"")</f>
        <v>3.1028075591010302</v>
      </c>
      <c r="L18" s="140" t="str">
        <f>IF(ISNUMBER(K18),IF(AND(J18&gt;=$C$30,K18&lt;=6),"OK","REVIEW"),"")</f>
        <v>OK</v>
      </c>
    </row>
    <row r="19" spans="1:12" ht="22.95" customHeight="1">
      <c r="A19" s="140" t="s">
        <v>497</v>
      </c>
      <c r="B19" s="140"/>
      <c r="C19" s="315">
        <f>IF(ISNUMBER(C18),C18,"")</f>
        <v>8000</v>
      </c>
      <c r="D19" s="140"/>
      <c r="E19" s="138"/>
      <c r="F19" s="140"/>
      <c r="G19" s="140"/>
      <c r="H19" s="140"/>
      <c r="I19" s="140"/>
      <c r="J19" s="140"/>
      <c r="K19" s="140"/>
      <c r="L19" s="140"/>
    </row>
    <row r="20" spans="1:12" ht="22.95" customHeight="1">
      <c r="A20" s="140" t="s">
        <v>498</v>
      </c>
      <c r="B20" s="140"/>
      <c r="C20" s="315">
        <f>IF('Section A Column Loading'!B7="","",'Section A Column Loading'!B7)</f>
        <v>60</v>
      </c>
      <c r="D20" s="140"/>
      <c r="E20" s="138"/>
      <c r="F20" s="140"/>
      <c r="G20" s="140"/>
      <c r="H20" s="140"/>
      <c r="I20" s="140"/>
      <c r="J20" s="140"/>
      <c r="K20" s="140"/>
      <c r="L20" s="140"/>
    </row>
    <row r="21" spans="1:12" ht="22.95" customHeight="1">
      <c r="A21" s="140" t="s">
        <v>499</v>
      </c>
      <c r="B21" s="140"/>
      <c r="C21" s="315">
        <f>IF('Section A Column Loading'!B8="","",'Section A Column Loading'!B8)</f>
        <v>500</v>
      </c>
      <c r="D21" s="140"/>
      <c r="E21" s="138"/>
      <c r="F21" s="140"/>
      <c r="G21" s="140"/>
      <c r="H21" s="140"/>
      <c r="I21" s="140"/>
      <c r="J21" s="140"/>
      <c r="K21" s="140"/>
      <c r="L21" s="140"/>
    </row>
    <row r="22" spans="1:12" ht="22.95" customHeight="1">
      <c r="A22" s="140" t="s">
        <v>500</v>
      </c>
      <c r="B22" s="140"/>
      <c r="C22" s="315">
        <f>IF('Section A Column Loading'!B9="","",'Section A Column Loading'!B9)</f>
        <v>2.5</v>
      </c>
      <c r="D22" s="140"/>
      <c r="E22" s="138"/>
      <c r="F22" s="140"/>
      <c r="G22" s="140"/>
      <c r="H22" s="578" t="s">
        <v>738</v>
      </c>
      <c r="I22" s="578"/>
      <c r="J22" s="578"/>
      <c r="K22" s="578"/>
      <c r="L22" s="578"/>
    </row>
    <row r="23" spans="1:12" ht="22.95" customHeight="1">
      <c r="A23" s="140" t="s">
        <v>501</v>
      </c>
      <c r="B23" s="140"/>
      <c r="C23" s="315">
        <f>IF('Section A Column Loading'!B11="","",'Section A Column Loading'!B11)</f>
        <v>1.4</v>
      </c>
      <c r="D23" s="140"/>
      <c r="E23" s="138"/>
      <c r="F23" s="140"/>
      <c r="G23" s="140"/>
      <c r="H23" s="138" t="s">
        <v>546</v>
      </c>
      <c r="I23" s="579" t="s">
        <v>1149</v>
      </c>
      <c r="J23" s="580"/>
      <c r="K23" s="580"/>
      <c r="L23" s="580"/>
    </row>
    <row r="24" spans="1:12" ht="22.95" customHeight="1">
      <c r="A24" s="140" t="s">
        <v>502</v>
      </c>
      <c r="B24" s="140"/>
      <c r="C24" s="315">
        <f>IF('Section A Column Loading'!B12="","",'Section A Column Loading'!B12)</f>
        <v>1.6</v>
      </c>
      <c r="D24" s="140"/>
      <c r="E24" s="138"/>
      <c r="F24" s="140"/>
      <c r="G24" s="140"/>
      <c r="H24" s="138" t="s">
        <v>547</v>
      </c>
      <c r="I24" s="581">
        <f>COUNTIF(M52:M101,"?*")+COUNT(M52:M101)</f>
        <v>6</v>
      </c>
      <c r="J24" s="580"/>
      <c r="K24" s="580"/>
      <c r="L24" s="580"/>
    </row>
    <row r="25" spans="1:12" ht="22.95" customHeight="1">
      <c r="A25" s="140" t="s">
        <v>96</v>
      </c>
      <c r="B25" s="140"/>
      <c r="C25" s="315">
        <f>IF('Section A Column Loading'!B10="","",'Section A Column Loading'!B10)</f>
        <v>1.25</v>
      </c>
      <c r="D25" s="140"/>
      <c r="E25" s="138"/>
      <c r="F25" s="140"/>
      <c r="G25" s="140"/>
      <c r="H25" s="138" t="s">
        <v>548</v>
      </c>
      <c r="I25" s="581">
        <f>COUNT(N52:N101)</f>
        <v>6</v>
      </c>
      <c r="J25" s="580"/>
      <c r="K25" s="580"/>
      <c r="L25" s="580"/>
    </row>
    <row r="26" spans="1:12" ht="22.95" customHeight="1">
      <c r="A26" s="140" t="s">
        <v>503</v>
      </c>
      <c r="B26" s="140"/>
      <c r="C26" s="315">
        <f>IF(C39="OK",SUM(G52:G71),"")</f>
        <v>10000</v>
      </c>
      <c r="D26" s="140"/>
      <c r="E26" s="138"/>
      <c r="F26" s="140"/>
      <c r="G26" s="140"/>
      <c r="H26" s="138" t="s">
        <v>549</v>
      </c>
      <c r="I26" s="581">
        <f>IF(I25=0,"",MAX(N52:N101)*1000)</f>
        <v>8000</v>
      </c>
      <c r="J26" s="580"/>
      <c r="K26" s="580"/>
      <c r="L26" s="580"/>
    </row>
    <row r="27" spans="1:12" ht="22.95" customHeight="1">
      <c r="A27" s="140" t="s">
        <v>504</v>
      </c>
      <c r="B27" s="140"/>
      <c r="C27" s="315">
        <f>IF(C39="OK",SUM(H52:H71),"")</f>
        <v>2000</v>
      </c>
      <c r="D27" s="140"/>
      <c r="E27" s="138"/>
      <c r="F27" s="140"/>
      <c r="G27" s="140"/>
      <c r="H27" s="138" t="s">
        <v>550</v>
      </c>
      <c r="I27" s="581">
        <f>COUNTIF(P52:P71,"FLOOR MISSING")</f>
        <v>0</v>
      </c>
      <c r="J27" s="580"/>
      <c r="K27" s="580"/>
      <c r="L27" s="580"/>
    </row>
    <row r="28" spans="1:12" ht="22.95" customHeight="1">
      <c r="A28" s="140" t="s">
        <v>505</v>
      </c>
      <c r="B28" s="140"/>
      <c r="C28" s="315">
        <f>IF(C39="OK",'Section A Column Loading'!E38,"")</f>
        <v>21500</v>
      </c>
      <c r="D28" s="140"/>
      <c r="E28" s="138"/>
      <c r="F28" s="140"/>
      <c r="G28" s="140"/>
      <c r="H28" s="140"/>
      <c r="I28" s="140"/>
      <c r="J28" s="140"/>
      <c r="K28" s="140"/>
      <c r="L28" s="140"/>
    </row>
    <row r="29" spans="1:12" ht="22.95" customHeight="1">
      <c r="A29" s="140" t="s">
        <v>506</v>
      </c>
      <c r="B29" s="140"/>
      <c r="C29" s="315">
        <f>IF(AND(COUNT(C14:C15)=2,C14&gt;0,C15&gt;0),C14*C15,"")</f>
        <v>810000</v>
      </c>
      <c r="D29" s="140"/>
      <c r="E29" s="138"/>
      <c r="F29" s="140"/>
      <c r="G29" s="140"/>
    </row>
    <row r="30" spans="1:12" ht="22.95" customHeight="1">
      <c r="A30" s="140" t="s">
        <v>507</v>
      </c>
      <c r="B30" s="140"/>
      <c r="C30" s="315">
        <f>IF(COUNT(C20:C22,C28:C29)&lt;&gt;5,"",IF(AND(C39="OK",C29&gt;0,C28&gt;=0,C20&gt;=25,C20&lt;=60,C21&gt;0,C22&gt;0,C22&lt;=6,0.67*C21-0.35*C20&gt;0),MAX(C29*C22/100,0.008*C29,MAX(0,(C28*1000-0.35*C20*C29)/(0.67*C21-0.35*C20))),""))</f>
        <v>20250</v>
      </c>
      <c r="D30" s="140"/>
      <c r="E30" s="138" t="str">
        <f>IF(C39&lt;&gt;"OK",C39,IF(COUNT(C14:C15,C20:C22)&lt;&gt;5,"Complete dimensions and materials in Section A Column Loading.",IF(OR(C20&lt;25,C20&gt;60),"Method range: C25-C60 only.",IF(OR(C21&lt;=0,0.67*C21-0.35*C20&lt;=0),"Invalid steel strength for this method.","Target source ratio, axial demand and 0.8% minimum."))))</f>
        <v>Target source ratio, axial demand and 0.8% minimum.</v>
      </c>
      <c r="F30" s="140"/>
      <c r="G30" s="140"/>
    </row>
    <row r="31" spans="1:12" ht="22.95" customHeight="1">
      <c r="A31" s="140" t="s">
        <v>508</v>
      </c>
      <c r="B31" s="140"/>
      <c r="C31" s="173">
        <f>IF(NOT(ISNUMBER(C30)),"",IF(C5="",IF(L16="OK",H16,IF(L17="OK",H17,IF(L18="OK",H18,""))),IF(AND(ISNUMBER(C5),COUNTIF(H16:H18,C5)&gt;0),C5,"")))</f>
        <v>32</v>
      </c>
      <c r="D31" s="140"/>
      <c r="E31" s="138"/>
      <c r="F31" s="140"/>
      <c r="G31" s="140"/>
    </row>
    <row r="32" spans="1:12" ht="34.049999999999997" customHeight="1">
      <c r="A32" s="140" t="s">
        <v>509</v>
      </c>
      <c r="B32" s="140"/>
      <c r="C32" s="319">
        <f>IF(COUNT(C30:C31)=2,INDEX(I16:I18,MATCH(C31,H16:H18,0)),"")</f>
        <v>28</v>
      </c>
      <c r="D32" s="140"/>
      <c r="E32" s="138" t="s">
        <v>1022</v>
      </c>
      <c r="F32" s="140"/>
      <c r="G32" s="140"/>
      <c r="H32" s="140"/>
      <c r="I32" s="140"/>
      <c r="J32" s="140"/>
      <c r="K32" s="140"/>
      <c r="L32" s="140"/>
    </row>
    <row r="33" spans="1:12" ht="22.95" customHeight="1">
      <c r="A33" s="140" t="s">
        <v>510</v>
      </c>
      <c r="B33" s="140"/>
      <c r="C33" s="315">
        <f>IF(COUNT(C31:C32)=2,C32*PI()*C31^2/4,"")</f>
        <v>22518.936140931637</v>
      </c>
      <c r="D33" s="140"/>
      <c r="E33" s="138"/>
      <c r="F33" s="140"/>
      <c r="G33" s="140"/>
      <c r="H33" s="140"/>
      <c r="I33" s="140"/>
      <c r="J33" s="140"/>
      <c r="K33" s="140"/>
      <c r="L33" s="140"/>
    </row>
    <row r="34" spans="1:12" ht="22.95" customHeight="1">
      <c r="A34" s="140" t="s">
        <v>511</v>
      </c>
      <c r="B34" s="140"/>
      <c r="C34" s="315">
        <f>IF(COUNT(C29,C33)=2,IF(C29&gt;0,100*C33/C29,""),"")</f>
        <v>2.7801155729545228</v>
      </c>
      <c r="D34" s="140"/>
      <c r="E34" s="138"/>
      <c r="F34" s="140"/>
      <c r="G34" s="140"/>
      <c r="H34" s="140"/>
      <c r="I34" s="140"/>
      <c r="J34" s="140"/>
      <c r="K34" s="140"/>
      <c r="L34" s="140"/>
    </row>
    <row r="35" spans="1:12" ht="22.95" customHeight="1">
      <c r="A35" s="140" t="s">
        <v>512</v>
      </c>
      <c r="B35" s="140"/>
      <c r="C35" s="315">
        <f>IF(COUNT(C20:C21,C29,C33)=4,(0.35*C20*(C29-C33)+0.67*C21*C33)/1000,"")</f>
        <v>24080.945948252534</v>
      </c>
      <c r="D35" s="140"/>
      <c r="E35" s="138"/>
      <c r="F35" s="140"/>
      <c r="G35" s="140"/>
      <c r="H35" s="140"/>
      <c r="I35" s="140"/>
      <c r="J35" s="140"/>
      <c r="K35" s="140"/>
      <c r="L35" s="140"/>
    </row>
    <row r="36" spans="1:12" ht="22.95" customHeight="1">
      <c r="A36" s="140" t="s">
        <v>513</v>
      </c>
      <c r="B36" s="140"/>
      <c r="C36" s="315">
        <f>IF(AND(ISNUMBER(C18),ISNUMBER(C15),C15&gt;0),C18/C15,"")</f>
        <v>8.8888888888888893</v>
      </c>
      <c r="D36" s="140"/>
      <c r="E36" s="138"/>
      <c r="F36" s="140"/>
      <c r="G36" s="140"/>
      <c r="H36" s="140"/>
      <c r="I36" s="140"/>
      <c r="J36" s="140"/>
      <c r="K36" s="140"/>
      <c r="L36" s="140"/>
    </row>
    <row r="37" spans="1:12" ht="22.95" customHeight="1">
      <c r="A37" s="140" t="s">
        <v>514</v>
      </c>
      <c r="B37" s="140"/>
      <c r="C37" s="315">
        <f>IF(AND(ISNUMBER(C19),ISNUMBER(C14),C14&gt;0),C19/C14,"")</f>
        <v>8.8888888888888893</v>
      </c>
      <c r="D37" s="140"/>
      <c r="E37" s="138"/>
      <c r="F37" s="140"/>
      <c r="G37" s="140"/>
      <c r="H37" s="140"/>
      <c r="I37" s="140"/>
      <c r="J37" s="140"/>
      <c r="K37" s="140"/>
      <c r="L37" s="140"/>
    </row>
    <row r="38" spans="1:12" ht="22.95" customHeight="1">
      <c r="A38" s="140" t="s">
        <v>515</v>
      </c>
      <c r="B38" s="140"/>
      <c r="C38" s="316" t="str">
        <f>IF(C7="INVALID SYSTEM","INVALID SYSTEM",IF(C7="Unbraced","UNBRACED - METHOD REVIEW",IF(C42&lt;&gt;"OK","HEIGHT INPUT REQUIRED",IF(COUNT(C36:C37)&lt;&gt;2,"DIMENSIONS / LENGTH REQUIRED",IF(AND(C36&lt;15,C37&lt;15),"SHORT / BRACED","SLENDER - SEPARATE DESIGN")))))</f>
        <v>SHORT / BRACED</v>
      </c>
      <c r="D38" s="140"/>
      <c r="E38" s="138"/>
      <c r="F38" s="140"/>
      <c r="G38" s="140"/>
      <c r="H38" s="140"/>
      <c r="I38" s="140"/>
      <c r="J38" s="140"/>
      <c r="K38" s="140"/>
      <c r="L38" s="140"/>
    </row>
    <row r="39" spans="1:12" ht="22.95" customHeight="1">
      <c r="A39" s="140" t="s">
        <v>516</v>
      </c>
      <c r="B39" s="140"/>
      <c r="C39" s="316" t="str">
        <f>IF(COUNTIF(J52:J71,"INPUT REQUIRED")&gt;0,"COMPLETE SOURCE LOAD ROWS",IF(COUNTIF(J52:J71,"OK")=0,"NO COLUMN LOADS",IF(COUNT(C23:C25)&lt;&gt;3,"LOAD FACTORS REQUIRED",IF(MIN(C23:C25)&lt;=0,"INVALID LOAD FACTORS",IF(NOT(ISNUMBER('Section A Column Loading'!E38)),"SOURCE N ULS REQUIRED",IF(ABS('Section A Column Loading'!E38-(C23*SUM(G52:G71)+C24*SUM(H52:H71))*C25)&gt;0.01,"SOURCE LOAD MISMATCH","OK"))))))</f>
        <v>OK</v>
      </c>
      <c r="D39" s="140"/>
      <c r="E39" s="138" t="s">
        <v>551</v>
      </c>
      <c r="F39" s="140"/>
      <c r="G39" s="140"/>
      <c r="H39" s="140"/>
      <c r="I39" s="140"/>
      <c r="J39" s="140"/>
      <c r="K39" s="140"/>
      <c r="L39" s="140"/>
    </row>
    <row r="40" spans="1:12" ht="22.95" customHeight="1">
      <c r="A40" s="140" t="s">
        <v>517</v>
      </c>
      <c r="B40" s="140"/>
      <c r="C40" s="316" t="str">
        <f>IF(AND(C5&lt;&gt;"",OR(NOT(ISNUMBER(C5)),COUNTIF(H16:H18,C5)=0)),"SELECT T32 / T25 / T40",IF(NOT(ISNUMBER(C30)),"LOAD / MATERIAL INPUT REQUIRED",IF(NOT(ISNUMBER(C33)),"NO BAR OPTION",IF(AND(C33&gt;=C30,C34&lt;=6),"OKAY (AREA ONLY)","NOT OKAY: STEEL AREA / RATIO"))))</f>
        <v>OKAY (AREA ONLY)</v>
      </c>
      <c r="D40" s="140"/>
      <c r="E40" s="138"/>
      <c r="F40" s="140"/>
      <c r="G40" s="140"/>
      <c r="H40" s="140"/>
      <c r="I40" s="140"/>
      <c r="J40" s="140"/>
      <c r="K40" s="140"/>
      <c r="L40" s="140"/>
    </row>
    <row r="41" spans="1:12" ht="22.95" customHeight="1">
      <c r="A41" s="140" t="s">
        <v>518</v>
      </c>
      <c r="B41" s="140"/>
      <c r="C41" s="316" t="str">
        <f>IF(C7="INVALID SYSTEM","INVALID SYSTEM",IF(C7="Unbraced","UNBRACED - METHOD REVIEW",IF(C39&lt;&gt;"OK",C39,IF(C38&lt;&gt;"SHORT / BRACED",C38,IF(OR(C40&lt;&gt;"OKAY (AREA ONLY)",COUNT(C35,C28)&lt;&gt;2),"STEEL / MATERIAL REVIEW",IF(C35&gt;=C28,"OKAY (AXIAL ONLY)","NOT OKAY"))))))</f>
        <v>OKAY (AXIAL ONLY)</v>
      </c>
      <c r="D41" s="140"/>
      <c r="E41" s="138" t="s">
        <v>1023</v>
      </c>
      <c r="F41" s="140"/>
      <c r="G41" s="140"/>
      <c r="H41" s="140"/>
      <c r="I41" s="140"/>
      <c r="J41" s="140"/>
      <c r="K41" s="140"/>
      <c r="L41" s="140"/>
    </row>
    <row r="42" spans="1:12" ht="22.95" customHeight="1">
      <c r="A42" s="140" t="s">
        <v>519</v>
      </c>
      <c r="B42" s="140"/>
      <c r="C42" s="316" t="str">
        <f>IF(AND(NOT(_xlfn.ISFORMULA(C3)),C3&lt;&gt;""),IF(AND(ISNUMBER(C3),C3&gt;0),"OK","INVALID HEIGHT OVERRIDE"),IF(I24=0,"NO FLOOR HEIGHT DATA",IF(I27&gt;0,"FLOORS MISSING FROM 6 - COPY",IF(I24=I25,"OK","COMPLETE FLOOR HEIGHTS IN 6 - COPY"))))</f>
        <v>OK</v>
      </c>
      <c r="D42" s="140"/>
      <c r="E42" s="138"/>
      <c r="F42" s="140"/>
      <c r="G42" s="140"/>
      <c r="H42" s="140"/>
      <c r="I42" s="140"/>
      <c r="J42" s="140"/>
      <c r="K42" s="140"/>
      <c r="L42" s="140"/>
    </row>
    <row r="43" spans="1:12" ht="22.95" customHeight="1">
      <c r="A43" s="140"/>
      <c r="B43" s="140"/>
      <c r="C43" s="140"/>
      <c r="D43" s="140"/>
      <c r="E43" s="138"/>
      <c r="F43" s="140"/>
      <c r="G43" s="140"/>
      <c r="H43" s="140"/>
      <c r="I43" s="140"/>
      <c r="J43" s="140"/>
      <c r="K43" s="140"/>
      <c r="L43" s="140"/>
    </row>
    <row r="44" spans="1:12" ht="36" customHeight="1">
      <c r="A44" s="412" t="s">
        <v>1020</v>
      </c>
      <c r="B44" s="412"/>
      <c r="C44" s="412"/>
      <c r="D44" s="412"/>
      <c r="E44" s="412"/>
      <c r="F44" s="412"/>
      <c r="G44" s="412"/>
      <c r="H44" s="412"/>
      <c r="I44" s="412"/>
      <c r="J44" s="412"/>
      <c r="K44" s="412"/>
      <c r="L44" s="412"/>
    </row>
    <row r="45" spans="1:12" ht="36" customHeight="1">
      <c r="A45" s="412" t="s">
        <v>1040</v>
      </c>
      <c r="B45" s="412"/>
      <c r="C45" s="412"/>
      <c r="D45" s="412"/>
      <c r="E45" s="412"/>
      <c r="F45" s="412"/>
      <c r="G45" s="412"/>
      <c r="H45" s="412"/>
      <c r="I45" s="412"/>
      <c r="J45" s="412"/>
      <c r="K45" s="412"/>
      <c r="L45" s="412"/>
    </row>
    <row r="46" spans="1:12" ht="36" customHeight="1">
      <c r="A46" s="412" t="s">
        <v>1021</v>
      </c>
      <c r="B46" s="412"/>
      <c r="C46" s="412"/>
      <c r="D46" s="412"/>
      <c r="E46" s="412"/>
      <c r="F46" s="412"/>
      <c r="G46" s="412"/>
      <c r="H46" s="412"/>
      <c r="I46" s="412"/>
      <c r="J46" s="412"/>
      <c r="K46" s="412"/>
      <c r="L46" s="412"/>
    </row>
    <row r="47" spans="1:12" ht="25.05" customHeight="1">
      <c r="A47" s="582" t="s">
        <v>1019</v>
      </c>
      <c r="B47" s="582"/>
      <c r="C47" s="583" t="str">
        <f>ColumnStatus85(C13:C42)</f>
        <v>OK (AXIAL ONLY)</v>
      </c>
      <c r="D47" s="582"/>
      <c r="E47" s="582"/>
      <c r="F47" s="65"/>
      <c r="G47" s="65"/>
      <c r="H47" s="65"/>
      <c r="I47" s="65"/>
      <c r="J47" s="65"/>
      <c r="K47" s="65"/>
      <c r="L47" s="65"/>
    </row>
    <row r="48" spans="1:12" ht="90" customHeight="1">
      <c r="A48" s="584" t="str">
        <f>ColumnReasons85(C13:C42)</f>
        <v>Photo axial / main steel check passed. Method applicability and detailing are not checked.</v>
      </c>
      <c r="B48" s="585"/>
      <c r="C48" s="585"/>
      <c r="D48" s="585"/>
      <c r="E48" s="585"/>
      <c r="F48" s="585"/>
      <c r="G48" s="585"/>
      <c r="H48" s="585"/>
      <c r="I48" s="585"/>
      <c r="J48" s="585"/>
      <c r="K48" s="585"/>
      <c r="L48" s="585"/>
    </row>
    <row r="49" spans="1:16" ht="90" customHeight="1">
      <c r="A49" s="585"/>
      <c r="B49" s="585"/>
      <c r="C49" s="585"/>
      <c r="D49" s="585"/>
      <c r="E49" s="585"/>
      <c r="F49" s="585"/>
      <c r="G49" s="585"/>
      <c r="H49" s="585"/>
      <c r="I49" s="585"/>
      <c r="J49" s="585"/>
      <c r="K49" s="585"/>
      <c r="L49" s="585"/>
    </row>
    <row r="50" spans="1:16" ht="27" customHeight="1">
      <c r="A50" s="65" t="s">
        <v>532</v>
      </c>
      <c r="B50" s="65"/>
      <c r="C50" s="65"/>
      <c r="D50" s="65"/>
      <c r="E50" s="65"/>
      <c r="F50" s="65"/>
      <c r="G50" s="65"/>
      <c r="H50" s="65"/>
      <c r="I50" s="65"/>
      <c r="J50" s="65"/>
      <c r="K50" s="65"/>
      <c r="L50" s="65"/>
    </row>
    <row r="51" spans="1:16" ht="27" customHeight="1">
      <c r="A51" s="66" t="s">
        <v>126</v>
      </c>
      <c r="B51" s="66" t="s">
        <v>211</v>
      </c>
      <c r="C51" s="66" t="s">
        <v>212</v>
      </c>
      <c r="D51" s="66" t="s">
        <v>213</v>
      </c>
      <c r="E51" s="66" t="s">
        <v>163</v>
      </c>
      <c r="F51" s="66" t="s">
        <v>216</v>
      </c>
      <c r="G51" s="66" t="s">
        <v>526</v>
      </c>
      <c r="H51" s="66" t="s">
        <v>527</v>
      </c>
      <c r="I51" s="66" t="s">
        <v>528</v>
      </c>
      <c r="J51" s="66" t="s">
        <v>529</v>
      </c>
      <c r="K51" s="66" t="s">
        <v>530</v>
      </c>
      <c r="L51" s="65"/>
    </row>
    <row r="52" spans="1:16" ht="27" customHeight="1">
      <c r="A52" s="65" t="str">
        <f>IF(I52=0,"",IF('Section A Column Loading'!A16="","",'Section A Column Loading'!A16))</f>
        <v>R/F</v>
      </c>
      <c r="B52" s="65">
        <f>IF(I52=0,"",IF('Section A Column Loading'!C16="","",'Section A Column Loading'!C16))</f>
        <v>10</v>
      </c>
      <c r="C52" s="65">
        <f>IF(I52=0,"",IF('Section A Column Loading'!D16="","",'Section A Column Loading'!D16))</f>
        <v>0</v>
      </c>
      <c r="D52" s="65">
        <f>IF(I52=0,"",IF('Section A Column Loading'!E16="","",'Section A Column Loading'!E16))</f>
        <v>2</v>
      </c>
      <c r="E52" s="65">
        <f>IF(I52=0,"",IF('Section A Column Loading'!I16="","",'Section A Column Loading'!I16))</f>
        <v>10</v>
      </c>
      <c r="F52" s="65">
        <f>IF(I52=0,"",IF('Section A Column Loading'!H16="","",'Section A Column Loading'!H16))</f>
        <v>100</v>
      </c>
      <c r="G52" s="65">
        <f t="shared" ref="G52:G71" si="0">IF(J52="OK",(B52+N(C52))*E52*F52,"")</f>
        <v>10000</v>
      </c>
      <c r="H52" s="65">
        <f t="shared" ref="H52:H71" si="1">IF(J52="OK",D52*E52*F52,"")</f>
        <v>2000</v>
      </c>
      <c r="I52" s="65">
        <f>IF(AND('Section A Column Loading'!F16="",'Section A Column Loading'!G16="",'Section A Column Loading'!H16=""),0,1)</f>
        <v>1</v>
      </c>
      <c r="J52" s="65" t="str">
        <f t="shared" ref="J52:J71" si="2">IF(I52=0,"UNUSED",IF(OR(A52="",COUNT(B52,D52:F52)&lt;&gt;4,AND(C52&lt;&gt;"",NOT(ISNUMBER(C52)))),"INPUT REQUIRED",IF(OR(B52&lt;0,N(C52)&lt;0,D52&lt;0,E52&lt;=0,E52&lt;&gt;INT(E52),F52&lt;=0),"INPUT REQUIRED","OK")))</f>
        <v>OK</v>
      </c>
      <c r="K52" s="65">
        <v>16</v>
      </c>
      <c r="L52" s="65"/>
      <c r="M52" t="str">
        <f>IF('_Input Engine'!A181="","",'_Input Engine'!A181)</f>
        <v>R/F</v>
      </c>
      <c r="N52">
        <f>IF(AND(M52&lt;&gt;"",ISNUMBER('_Input Engine'!F181),'_Input Engine'!F181&gt;0),'_Input Engine'!F181,"")</f>
        <v>5</v>
      </c>
      <c r="P52" t="str">
        <f t="shared" ref="P52:P71" si="3">IF(I52=0,"UNUSED",IF(A52="","FLOOR ID REQUIRED",IF(COUNTIF($M$52:$M$101,A52)&gt;0,"OK","FLOOR MISSING")))</f>
        <v>OK</v>
      </c>
    </row>
    <row r="53" spans="1:16" ht="27" customHeight="1">
      <c r="A53" s="65" t="str">
        <f>IF(I53=0,"",IF('Section A Column Loading'!A17="","",'Section A Column Loading'!A17))</f>
        <v/>
      </c>
      <c r="B53" s="65" t="str">
        <f>IF(I53=0,"",IF('Section A Column Loading'!C17="","",'Section A Column Loading'!C17))</f>
        <v/>
      </c>
      <c r="C53" s="65" t="str">
        <f>IF(I53=0,"",IF('Section A Column Loading'!D17="","",'Section A Column Loading'!D17))</f>
        <v/>
      </c>
      <c r="D53" s="65" t="str">
        <f>IF(I53=0,"",IF('Section A Column Loading'!E17="","",'Section A Column Loading'!E17))</f>
        <v/>
      </c>
      <c r="E53" s="65" t="str">
        <f>IF(I53=0,"",IF('Section A Column Loading'!I17="","",'Section A Column Loading'!I17))</f>
        <v/>
      </c>
      <c r="F53" s="65" t="str">
        <f>IF(I53=0,"",IF('Section A Column Loading'!H17="","",'Section A Column Loading'!H17))</f>
        <v/>
      </c>
      <c r="G53" s="65" t="str">
        <f t="shared" si="0"/>
        <v/>
      </c>
      <c r="H53" s="65" t="str">
        <f t="shared" si="1"/>
        <v/>
      </c>
      <c r="I53" s="65">
        <f>IF(AND('Section A Column Loading'!F17="",'Section A Column Loading'!G17="",'Section A Column Loading'!H17=""),0,1)</f>
        <v>0</v>
      </c>
      <c r="J53" s="65" t="str">
        <f t="shared" si="2"/>
        <v>UNUSED</v>
      </c>
      <c r="K53" s="65">
        <v>17</v>
      </c>
      <c r="L53" s="65"/>
      <c r="M53" t="str">
        <f>IF('_Input Engine'!A182="","",'_Input Engine'!A182)</f>
        <v>6/F</v>
      </c>
      <c r="N53">
        <f>IF(AND(M53&lt;&gt;"",ISNUMBER('_Input Engine'!F182),'_Input Engine'!F182&gt;0),'_Input Engine'!F182,"")</f>
        <v>6</v>
      </c>
      <c r="P53" t="str">
        <f t="shared" si="3"/>
        <v>UNUSED</v>
      </c>
    </row>
    <row r="54" spans="1:16" ht="27" customHeight="1">
      <c r="A54" s="65" t="str">
        <f>IF(I54=0,"",IF('Section A Column Loading'!A18="","",'Section A Column Loading'!A18))</f>
        <v/>
      </c>
      <c r="B54" s="65" t="str">
        <f>IF(I54=0,"",IF('Section A Column Loading'!C18="","",'Section A Column Loading'!C18))</f>
        <v/>
      </c>
      <c r="C54" s="65" t="str">
        <f>IF(I54=0,"",IF('Section A Column Loading'!D18="","",'Section A Column Loading'!D18))</f>
        <v/>
      </c>
      <c r="D54" s="65" t="str">
        <f>IF(I54=0,"",IF('Section A Column Loading'!E18="","",'Section A Column Loading'!E18))</f>
        <v/>
      </c>
      <c r="E54" s="65" t="str">
        <f>IF(I54=0,"",IF('Section A Column Loading'!I18="","",'Section A Column Loading'!I18))</f>
        <v/>
      </c>
      <c r="F54" s="65" t="str">
        <f>IF(I54=0,"",IF('Section A Column Loading'!H18="","",'Section A Column Loading'!H18))</f>
        <v/>
      </c>
      <c r="G54" s="65" t="str">
        <f t="shared" si="0"/>
        <v/>
      </c>
      <c r="H54" s="65" t="str">
        <f t="shared" si="1"/>
        <v/>
      </c>
      <c r="I54" s="65">
        <f>IF(AND('Section A Column Loading'!F18="",'Section A Column Loading'!G18="",'Section A Column Loading'!H18=""),0,1)</f>
        <v>0</v>
      </c>
      <c r="J54" s="65" t="str">
        <f t="shared" si="2"/>
        <v>UNUSED</v>
      </c>
      <c r="K54" s="65">
        <v>18</v>
      </c>
      <c r="L54" s="65"/>
      <c r="M54" t="str">
        <f>IF('_Input Engine'!A183="","",'_Input Engine'!A183)</f>
        <v>5/F</v>
      </c>
      <c r="N54">
        <f>IF(AND(M54&lt;&gt;"",ISNUMBER('_Input Engine'!F183),'_Input Engine'!F183&gt;0),'_Input Engine'!F183,"")</f>
        <v>3</v>
      </c>
      <c r="P54" t="str">
        <f t="shared" si="3"/>
        <v>UNUSED</v>
      </c>
    </row>
    <row r="55" spans="1:16" ht="27" customHeight="1">
      <c r="A55" s="65" t="str">
        <f>IF(I55=0,"",IF('Section A Column Loading'!A19="","",'Section A Column Loading'!A19))</f>
        <v/>
      </c>
      <c r="B55" s="65" t="str">
        <f>IF(I55=0,"",IF('Section A Column Loading'!C19="","",'Section A Column Loading'!C19))</f>
        <v/>
      </c>
      <c r="C55" s="65" t="str">
        <f>IF(I55=0,"",IF('Section A Column Loading'!D19="","",'Section A Column Loading'!D19))</f>
        <v/>
      </c>
      <c r="D55" s="65" t="str">
        <f>IF(I55=0,"",IF('Section A Column Loading'!E19="","",'Section A Column Loading'!E19))</f>
        <v/>
      </c>
      <c r="E55" s="65" t="str">
        <f>IF(I55=0,"",IF('Section A Column Loading'!I19="","",'Section A Column Loading'!I19))</f>
        <v/>
      </c>
      <c r="F55" s="65" t="str">
        <f>IF(I55=0,"",IF('Section A Column Loading'!H19="","",'Section A Column Loading'!H19))</f>
        <v/>
      </c>
      <c r="G55" s="65" t="str">
        <f t="shared" si="0"/>
        <v/>
      </c>
      <c r="H55" s="65" t="str">
        <f t="shared" si="1"/>
        <v/>
      </c>
      <c r="I55" s="65">
        <f>IF(AND('Section A Column Loading'!F19="",'Section A Column Loading'!G19="",'Section A Column Loading'!H19=""),0,1)</f>
        <v>0</v>
      </c>
      <c r="J55" s="65" t="str">
        <f t="shared" si="2"/>
        <v>UNUSED</v>
      </c>
      <c r="K55" s="65">
        <v>19</v>
      </c>
      <c r="L55" s="65"/>
      <c r="M55" t="str">
        <f>IF('_Input Engine'!A184="","",'_Input Engine'!A184)</f>
        <v>1/F–4/F</v>
      </c>
      <c r="N55">
        <f>IF(AND(M55&lt;&gt;"",ISNUMBER('_Input Engine'!F184),'_Input Engine'!F184&gt;0),'_Input Engine'!F184,"")</f>
        <v>2</v>
      </c>
      <c r="P55" t="str">
        <f t="shared" si="3"/>
        <v>UNUSED</v>
      </c>
    </row>
    <row r="56" spans="1:16" ht="27" customHeight="1">
      <c r="A56" s="65" t="str">
        <f>IF(I56=0,"",IF('Section A Column Loading'!A20="","",'Section A Column Loading'!A20))</f>
        <v/>
      </c>
      <c r="B56" s="65" t="str">
        <f>IF(I56=0,"",IF('Section A Column Loading'!C20="","",'Section A Column Loading'!C20))</f>
        <v/>
      </c>
      <c r="C56" s="65" t="str">
        <f>IF(I56=0,"",IF('Section A Column Loading'!D20="","",'Section A Column Loading'!D20))</f>
        <v/>
      </c>
      <c r="D56" s="65" t="str">
        <f>IF(I56=0,"",IF('Section A Column Loading'!E20="","",'Section A Column Loading'!E20))</f>
        <v/>
      </c>
      <c r="E56" s="65" t="str">
        <f>IF(I56=0,"",IF('Section A Column Loading'!I20="","",'Section A Column Loading'!I20))</f>
        <v/>
      </c>
      <c r="F56" s="65" t="str">
        <f>IF(I56=0,"",IF('Section A Column Loading'!H20="","",'Section A Column Loading'!H20))</f>
        <v/>
      </c>
      <c r="G56" s="65" t="str">
        <f t="shared" si="0"/>
        <v/>
      </c>
      <c r="H56" s="65" t="str">
        <f t="shared" si="1"/>
        <v/>
      </c>
      <c r="I56" s="65">
        <f>IF(AND('Section A Column Loading'!F20="",'Section A Column Loading'!G20="",'Section A Column Loading'!H20=""),0,1)</f>
        <v>0</v>
      </c>
      <c r="J56" s="65" t="str">
        <f t="shared" si="2"/>
        <v>UNUSED</v>
      </c>
      <c r="K56" s="65">
        <v>20</v>
      </c>
      <c r="L56" s="65"/>
      <c r="M56" t="str">
        <f>IF('_Input Engine'!A185="","",'_Input Engine'!A185)</f>
        <v>G/F</v>
      </c>
      <c r="N56">
        <f>IF(AND(M56&lt;&gt;"",ISNUMBER('_Input Engine'!F185),'_Input Engine'!F185&gt;0),'_Input Engine'!F185,"")</f>
        <v>4</v>
      </c>
      <c r="P56" t="str">
        <f t="shared" si="3"/>
        <v>UNUSED</v>
      </c>
    </row>
    <row r="57" spans="1:16" ht="27" customHeight="1">
      <c r="A57" s="65" t="str">
        <f>IF(I57=0,"",IF('Section A Column Loading'!A21="","",'Section A Column Loading'!A21))</f>
        <v/>
      </c>
      <c r="B57" s="65" t="str">
        <f>IF(I57=0,"",IF('Section A Column Loading'!C21="","",'Section A Column Loading'!C21))</f>
        <v/>
      </c>
      <c r="C57" s="65" t="str">
        <f>IF(I57=0,"",IF('Section A Column Loading'!D21="","",'Section A Column Loading'!D21))</f>
        <v/>
      </c>
      <c r="D57" s="65" t="str">
        <f>IF(I57=0,"",IF('Section A Column Loading'!E21="","",'Section A Column Loading'!E21))</f>
        <v/>
      </c>
      <c r="E57" s="65" t="str">
        <f>IF(I57=0,"",IF('Section A Column Loading'!I21="","",'Section A Column Loading'!I21))</f>
        <v/>
      </c>
      <c r="F57" s="65" t="str">
        <f>IF(I57=0,"",IF('Section A Column Loading'!H21="","",'Section A Column Loading'!H21))</f>
        <v/>
      </c>
      <c r="G57" s="65" t="str">
        <f t="shared" si="0"/>
        <v/>
      </c>
      <c r="H57" s="65" t="str">
        <f t="shared" si="1"/>
        <v/>
      </c>
      <c r="I57" s="65">
        <f>IF(AND('Section A Column Loading'!F21="",'Section A Column Loading'!G21="",'Section A Column Loading'!H21=""),0,1)</f>
        <v>0</v>
      </c>
      <c r="J57" s="65" t="str">
        <f t="shared" si="2"/>
        <v>UNUSED</v>
      </c>
      <c r="K57" s="65">
        <v>21</v>
      </c>
      <c r="L57" s="65"/>
      <c r="M57" t="str">
        <f>IF('_Input Engine'!A186="","",'_Input Engine'!A186)</f>
        <v>B1/F–B2/F</v>
      </c>
      <c r="N57">
        <f>IF(AND(M57&lt;&gt;"",ISNUMBER('_Input Engine'!F186),'_Input Engine'!F186&gt;0),'_Input Engine'!F186,"")</f>
        <v>8</v>
      </c>
      <c r="P57" t="str">
        <f t="shared" si="3"/>
        <v>UNUSED</v>
      </c>
    </row>
    <row r="58" spans="1:16" ht="27" customHeight="1">
      <c r="A58" s="65" t="str">
        <f>IF(I58=0,"",IF('Section A Column Loading'!A22="","",'Section A Column Loading'!A22))</f>
        <v/>
      </c>
      <c r="B58" s="65" t="str">
        <f>IF(I58=0,"",IF('Section A Column Loading'!C22="","",'Section A Column Loading'!C22))</f>
        <v/>
      </c>
      <c r="C58" s="65" t="str">
        <f>IF(I58=0,"",IF('Section A Column Loading'!D22="","",'Section A Column Loading'!D22))</f>
        <v/>
      </c>
      <c r="D58" s="65" t="str">
        <f>IF(I58=0,"",IF('Section A Column Loading'!E22="","",'Section A Column Loading'!E22))</f>
        <v/>
      </c>
      <c r="E58" s="65" t="str">
        <f>IF(I58=0,"",IF('Section A Column Loading'!I22="","",'Section A Column Loading'!I22))</f>
        <v/>
      </c>
      <c r="F58" s="65" t="str">
        <f>IF(I58=0,"",IF('Section A Column Loading'!H22="","",'Section A Column Loading'!H22))</f>
        <v/>
      </c>
      <c r="G58" s="65" t="str">
        <f t="shared" si="0"/>
        <v/>
      </c>
      <c r="H58" s="65" t="str">
        <f t="shared" si="1"/>
        <v/>
      </c>
      <c r="I58" s="65">
        <f>IF(AND('Section A Column Loading'!F22="",'Section A Column Loading'!G22="",'Section A Column Loading'!H22=""),0,1)</f>
        <v>0</v>
      </c>
      <c r="J58" s="65" t="str">
        <f t="shared" si="2"/>
        <v>UNUSED</v>
      </c>
      <c r="K58" s="65">
        <v>22</v>
      </c>
      <c r="L58" s="65"/>
      <c r="M58" t="str">
        <f>IF('_Input Engine'!A187="","",'_Input Engine'!A187)</f>
        <v/>
      </c>
      <c r="N58" t="str">
        <f>IF(AND(M58&lt;&gt;"",ISNUMBER('_Input Engine'!F187),'_Input Engine'!F187&gt;0),'_Input Engine'!F187,"")</f>
        <v/>
      </c>
      <c r="P58" t="str">
        <f t="shared" si="3"/>
        <v>UNUSED</v>
      </c>
    </row>
    <row r="59" spans="1:16" ht="27" customHeight="1">
      <c r="A59" s="65" t="str">
        <f>IF(I59=0,"",IF('Section A Column Loading'!A23="","",'Section A Column Loading'!A23))</f>
        <v/>
      </c>
      <c r="B59" s="65" t="str">
        <f>IF(I59=0,"",IF('Section A Column Loading'!C23="","",'Section A Column Loading'!C23))</f>
        <v/>
      </c>
      <c r="C59" s="65" t="str">
        <f>IF(I59=0,"",IF('Section A Column Loading'!D23="","",'Section A Column Loading'!D23))</f>
        <v/>
      </c>
      <c r="D59" s="65" t="str">
        <f>IF(I59=0,"",IF('Section A Column Loading'!E23="","",'Section A Column Loading'!E23))</f>
        <v/>
      </c>
      <c r="E59" s="65" t="str">
        <f>IF(I59=0,"",IF('Section A Column Loading'!I23="","",'Section A Column Loading'!I23))</f>
        <v/>
      </c>
      <c r="F59" s="65" t="str">
        <f>IF(I59=0,"",IF('Section A Column Loading'!H23="","",'Section A Column Loading'!H23))</f>
        <v/>
      </c>
      <c r="G59" s="65" t="str">
        <f t="shared" si="0"/>
        <v/>
      </c>
      <c r="H59" s="65" t="str">
        <f t="shared" si="1"/>
        <v/>
      </c>
      <c r="I59" s="65">
        <f>IF(AND('Section A Column Loading'!F23="",'Section A Column Loading'!G23="",'Section A Column Loading'!H23=""),0,1)</f>
        <v>0</v>
      </c>
      <c r="J59" s="65" t="str">
        <f t="shared" si="2"/>
        <v>UNUSED</v>
      </c>
      <c r="K59" s="65">
        <v>23</v>
      </c>
      <c r="L59" s="65"/>
      <c r="M59" t="str">
        <f>IF('_Input Engine'!A188="","",'_Input Engine'!A188)</f>
        <v/>
      </c>
      <c r="N59" t="str">
        <f>IF(AND(M59&lt;&gt;"",ISNUMBER('_Input Engine'!F188),'_Input Engine'!F188&gt;0),'_Input Engine'!F188,"")</f>
        <v/>
      </c>
      <c r="P59" t="str">
        <f t="shared" si="3"/>
        <v>UNUSED</v>
      </c>
    </row>
    <row r="60" spans="1:16" ht="27" customHeight="1">
      <c r="A60" s="65" t="str">
        <f>IF(I60=0,"",IF('Section A Column Loading'!A24="","",'Section A Column Loading'!A24))</f>
        <v/>
      </c>
      <c r="B60" s="65" t="str">
        <f>IF(I60=0,"",IF('Section A Column Loading'!C24="","",'Section A Column Loading'!C24))</f>
        <v/>
      </c>
      <c r="C60" s="65" t="str">
        <f>IF(I60=0,"",IF('Section A Column Loading'!D24="","",'Section A Column Loading'!D24))</f>
        <v/>
      </c>
      <c r="D60" s="65" t="str">
        <f>IF(I60=0,"",IF('Section A Column Loading'!E24="","",'Section A Column Loading'!E24))</f>
        <v/>
      </c>
      <c r="E60" s="65" t="str">
        <f>IF(I60=0,"",IF('Section A Column Loading'!I24="","",'Section A Column Loading'!I24))</f>
        <v/>
      </c>
      <c r="F60" s="65" t="str">
        <f>IF(I60=0,"",IF('Section A Column Loading'!H24="","",'Section A Column Loading'!H24))</f>
        <v/>
      </c>
      <c r="G60" s="65" t="str">
        <f t="shared" si="0"/>
        <v/>
      </c>
      <c r="H60" s="65" t="str">
        <f t="shared" si="1"/>
        <v/>
      </c>
      <c r="I60" s="65">
        <f>IF(AND('Section A Column Loading'!F24="",'Section A Column Loading'!G24="",'Section A Column Loading'!H24=""),0,1)</f>
        <v>0</v>
      </c>
      <c r="J60" s="65" t="str">
        <f t="shared" si="2"/>
        <v>UNUSED</v>
      </c>
      <c r="K60" s="65">
        <v>24</v>
      </c>
      <c r="L60" s="65"/>
      <c r="M60" t="str">
        <f>IF('_Input Engine'!A189="","",'_Input Engine'!A189)</f>
        <v/>
      </c>
      <c r="N60" t="str">
        <f>IF(AND(M60&lt;&gt;"",ISNUMBER('_Input Engine'!F189),'_Input Engine'!F189&gt;0),'_Input Engine'!F189,"")</f>
        <v/>
      </c>
      <c r="P60" t="str">
        <f t="shared" si="3"/>
        <v>UNUSED</v>
      </c>
    </row>
    <row r="61" spans="1:16" ht="27" customHeight="1">
      <c r="A61" s="65" t="str">
        <f>IF(I61=0,"",IF('Section A Column Loading'!A25="","",'Section A Column Loading'!A25))</f>
        <v/>
      </c>
      <c r="B61" s="65" t="str">
        <f>IF(I61=0,"",IF('Section A Column Loading'!C25="","",'Section A Column Loading'!C25))</f>
        <v/>
      </c>
      <c r="C61" s="65" t="str">
        <f>IF(I61=0,"",IF('Section A Column Loading'!D25="","",'Section A Column Loading'!D25))</f>
        <v/>
      </c>
      <c r="D61" s="65" t="str">
        <f>IF(I61=0,"",IF('Section A Column Loading'!E25="","",'Section A Column Loading'!E25))</f>
        <v/>
      </c>
      <c r="E61" s="65" t="str">
        <f>IF(I61=0,"",IF('Section A Column Loading'!I25="","",'Section A Column Loading'!I25))</f>
        <v/>
      </c>
      <c r="F61" s="65" t="str">
        <f>IF(I61=0,"",IF('Section A Column Loading'!H25="","",'Section A Column Loading'!H25))</f>
        <v/>
      </c>
      <c r="G61" s="65" t="str">
        <f t="shared" si="0"/>
        <v/>
      </c>
      <c r="H61" s="65" t="str">
        <f t="shared" si="1"/>
        <v/>
      </c>
      <c r="I61" s="65">
        <f>IF(AND('Section A Column Loading'!F25="",'Section A Column Loading'!G25="",'Section A Column Loading'!H25=""),0,1)</f>
        <v>0</v>
      </c>
      <c r="J61" s="65" t="str">
        <f t="shared" si="2"/>
        <v>UNUSED</v>
      </c>
      <c r="K61" s="65">
        <v>25</v>
      </c>
      <c r="L61" s="65"/>
      <c r="M61" t="str">
        <f>IF('_Input Engine'!A190="","",'_Input Engine'!A190)</f>
        <v/>
      </c>
      <c r="N61" t="str">
        <f>IF(AND(M61&lt;&gt;"",ISNUMBER('_Input Engine'!F190),'_Input Engine'!F190&gt;0),'_Input Engine'!F190,"")</f>
        <v/>
      </c>
      <c r="P61" t="str">
        <f t="shared" si="3"/>
        <v>UNUSED</v>
      </c>
    </row>
    <row r="62" spans="1:16" ht="27" customHeight="1">
      <c r="A62" s="65" t="str">
        <f>IF(I62=0,"",IF('Section A Column Loading'!A26="","",'Section A Column Loading'!A26))</f>
        <v/>
      </c>
      <c r="B62" s="65" t="str">
        <f>IF(I62=0,"",IF('Section A Column Loading'!C26="","",'Section A Column Loading'!C26))</f>
        <v/>
      </c>
      <c r="C62" s="65" t="str">
        <f>IF(I62=0,"",IF('Section A Column Loading'!D26="","",'Section A Column Loading'!D26))</f>
        <v/>
      </c>
      <c r="D62" s="65" t="str">
        <f>IF(I62=0,"",IF('Section A Column Loading'!E26="","",'Section A Column Loading'!E26))</f>
        <v/>
      </c>
      <c r="E62" s="65" t="str">
        <f>IF(I62=0,"",IF('Section A Column Loading'!I26="","",'Section A Column Loading'!I26))</f>
        <v/>
      </c>
      <c r="F62" s="65" t="str">
        <f>IF(I62=0,"",IF('Section A Column Loading'!H26="","",'Section A Column Loading'!H26))</f>
        <v/>
      </c>
      <c r="G62" s="65" t="str">
        <f t="shared" si="0"/>
        <v/>
      </c>
      <c r="H62" s="65" t="str">
        <f t="shared" si="1"/>
        <v/>
      </c>
      <c r="I62" s="65">
        <f>IF(AND('Section A Column Loading'!F26="",'Section A Column Loading'!G26="",'Section A Column Loading'!H26=""),0,1)</f>
        <v>0</v>
      </c>
      <c r="J62" s="65" t="str">
        <f t="shared" si="2"/>
        <v>UNUSED</v>
      </c>
      <c r="K62" s="65">
        <v>26</v>
      </c>
      <c r="L62" s="65"/>
      <c r="M62" t="str">
        <f>IF('_Input Engine'!A191="","",'_Input Engine'!A191)</f>
        <v/>
      </c>
      <c r="N62" t="str">
        <f>IF(AND(M62&lt;&gt;"",ISNUMBER('_Input Engine'!F191),'_Input Engine'!F191&gt;0),'_Input Engine'!F191,"")</f>
        <v/>
      </c>
      <c r="P62" t="str">
        <f t="shared" si="3"/>
        <v>UNUSED</v>
      </c>
    </row>
    <row r="63" spans="1:16" ht="27" customHeight="1">
      <c r="A63" s="65" t="str">
        <f>IF(I63=0,"",IF('Section A Column Loading'!A27="","",'Section A Column Loading'!A27))</f>
        <v/>
      </c>
      <c r="B63" s="65" t="str">
        <f>IF(I63=0,"",IF('Section A Column Loading'!C27="","",'Section A Column Loading'!C27))</f>
        <v/>
      </c>
      <c r="C63" s="65" t="str">
        <f>IF(I63=0,"",IF('Section A Column Loading'!D27="","",'Section A Column Loading'!D27))</f>
        <v/>
      </c>
      <c r="D63" s="65" t="str">
        <f>IF(I63=0,"",IF('Section A Column Loading'!E27="","",'Section A Column Loading'!E27))</f>
        <v/>
      </c>
      <c r="E63" s="65" t="str">
        <f>IF(I63=0,"",IF('Section A Column Loading'!I27="","",'Section A Column Loading'!I27))</f>
        <v/>
      </c>
      <c r="F63" s="65" t="str">
        <f>IF(I63=0,"",IF('Section A Column Loading'!H27="","",'Section A Column Loading'!H27))</f>
        <v/>
      </c>
      <c r="G63" s="65" t="str">
        <f t="shared" si="0"/>
        <v/>
      </c>
      <c r="H63" s="65" t="str">
        <f t="shared" si="1"/>
        <v/>
      </c>
      <c r="I63" s="65">
        <f>IF(AND('Section A Column Loading'!F27="",'Section A Column Loading'!G27="",'Section A Column Loading'!H27=""),0,1)</f>
        <v>0</v>
      </c>
      <c r="J63" s="65" t="str">
        <f t="shared" si="2"/>
        <v>UNUSED</v>
      </c>
      <c r="K63" s="65">
        <v>27</v>
      </c>
      <c r="L63" s="65"/>
      <c r="M63" t="str">
        <f>IF('_Input Engine'!A192="","",'_Input Engine'!A192)</f>
        <v/>
      </c>
      <c r="N63" t="str">
        <f>IF(AND(M63&lt;&gt;"",ISNUMBER('_Input Engine'!F192),'_Input Engine'!F192&gt;0),'_Input Engine'!F192,"")</f>
        <v/>
      </c>
      <c r="P63" t="str">
        <f t="shared" si="3"/>
        <v>UNUSED</v>
      </c>
    </row>
    <row r="64" spans="1:16" ht="27" customHeight="1">
      <c r="A64" s="65" t="str">
        <f>IF(I64=0,"",IF('Section A Column Loading'!A28="","",'Section A Column Loading'!A28))</f>
        <v/>
      </c>
      <c r="B64" s="65" t="str">
        <f>IF(I64=0,"",IF('Section A Column Loading'!C28="","",'Section A Column Loading'!C28))</f>
        <v/>
      </c>
      <c r="C64" s="65" t="str">
        <f>IF(I64=0,"",IF('Section A Column Loading'!D28="","",'Section A Column Loading'!D28))</f>
        <v/>
      </c>
      <c r="D64" s="65" t="str">
        <f>IF(I64=0,"",IF('Section A Column Loading'!E28="","",'Section A Column Loading'!E28))</f>
        <v/>
      </c>
      <c r="E64" s="65" t="str">
        <f>IF(I64=0,"",IF('Section A Column Loading'!I28="","",'Section A Column Loading'!I28))</f>
        <v/>
      </c>
      <c r="F64" s="65" t="str">
        <f>IF(I64=0,"",IF('Section A Column Loading'!H28="","",'Section A Column Loading'!H28))</f>
        <v/>
      </c>
      <c r="G64" s="65" t="str">
        <f t="shared" si="0"/>
        <v/>
      </c>
      <c r="H64" s="65" t="str">
        <f t="shared" si="1"/>
        <v/>
      </c>
      <c r="I64" s="65">
        <f>IF(AND('Section A Column Loading'!F28="",'Section A Column Loading'!G28="",'Section A Column Loading'!H28=""),0,1)</f>
        <v>0</v>
      </c>
      <c r="J64" s="65" t="str">
        <f t="shared" si="2"/>
        <v>UNUSED</v>
      </c>
      <c r="K64" s="65">
        <v>28</v>
      </c>
      <c r="L64" s="65"/>
      <c r="M64" t="str">
        <f>IF('_Input Engine'!A193="","",'_Input Engine'!A193)</f>
        <v/>
      </c>
      <c r="N64" t="str">
        <f>IF(AND(M64&lt;&gt;"",ISNUMBER('_Input Engine'!F193),'_Input Engine'!F193&gt;0),'_Input Engine'!F193,"")</f>
        <v/>
      </c>
      <c r="P64" t="str">
        <f t="shared" si="3"/>
        <v>UNUSED</v>
      </c>
    </row>
    <row r="65" spans="1:16" ht="27" customHeight="1">
      <c r="A65" s="65" t="str">
        <f>IF(I65=0,"",IF('Section A Column Loading'!A29="","",'Section A Column Loading'!A29))</f>
        <v/>
      </c>
      <c r="B65" s="65" t="str">
        <f>IF(I65=0,"",IF('Section A Column Loading'!C29="","",'Section A Column Loading'!C29))</f>
        <v/>
      </c>
      <c r="C65" s="65" t="str">
        <f>IF(I65=0,"",IF('Section A Column Loading'!D29="","",'Section A Column Loading'!D29))</f>
        <v/>
      </c>
      <c r="D65" s="65" t="str">
        <f>IF(I65=0,"",IF('Section A Column Loading'!E29="","",'Section A Column Loading'!E29))</f>
        <v/>
      </c>
      <c r="E65" s="65" t="str">
        <f>IF(I65=0,"",IF('Section A Column Loading'!I29="","",'Section A Column Loading'!I29))</f>
        <v/>
      </c>
      <c r="F65" s="65" t="str">
        <f>IF(I65=0,"",IF('Section A Column Loading'!H29="","",'Section A Column Loading'!H29))</f>
        <v/>
      </c>
      <c r="G65" s="65" t="str">
        <f t="shared" si="0"/>
        <v/>
      </c>
      <c r="H65" s="65" t="str">
        <f t="shared" si="1"/>
        <v/>
      </c>
      <c r="I65" s="65">
        <f>IF(AND('Section A Column Loading'!F29="",'Section A Column Loading'!G29="",'Section A Column Loading'!H29=""),0,1)</f>
        <v>0</v>
      </c>
      <c r="J65" s="65" t="str">
        <f t="shared" si="2"/>
        <v>UNUSED</v>
      </c>
      <c r="K65" s="65">
        <v>29</v>
      </c>
      <c r="L65" s="65"/>
      <c r="M65" t="str">
        <f>IF('_Input Engine'!A194="","",'_Input Engine'!A194)</f>
        <v/>
      </c>
      <c r="N65" t="str">
        <f>IF(AND(M65&lt;&gt;"",ISNUMBER('_Input Engine'!F194),'_Input Engine'!F194&gt;0),'_Input Engine'!F194,"")</f>
        <v/>
      </c>
      <c r="P65" t="str">
        <f t="shared" si="3"/>
        <v>UNUSED</v>
      </c>
    </row>
    <row r="66" spans="1:16" ht="27" customHeight="1">
      <c r="A66" s="65" t="str">
        <f>IF(I66=0,"",IF('Section A Column Loading'!A30="","",'Section A Column Loading'!A30))</f>
        <v/>
      </c>
      <c r="B66" s="65" t="str">
        <f>IF(I66=0,"",IF('Section A Column Loading'!C30="","",'Section A Column Loading'!C30))</f>
        <v/>
      </c>
      <c r="C66" s="65" t="str">
        <f>IF(I66=0,"",IF('Section A Column Loading'!D30="","",'Section A Column Loading'!D30))</f>
        <v/>
      </c>
      <c r="D66" s="65" t="str">
        <f>IF(I66=0,"",IF('Section A Column Loading'!E30="","",'Section A Column Loading'!E30))</f>
        <v/>
      </c>
      <c r="E66" s="65" t="str">
        <f>IF(I66=0,"",IF('Section A Column Loading'!I30="","",'Section A Column Loading'!I30))</f>
        <v/>
      </c>
      <c r="F66" s="65" t="str">
        <f>IF(I66=0,"",IF('Section A Column Loading'!H30="","",'Section A Column Loading'!H30))</f>
        <v/>
      </c>
      <c r="G66" s="65" t="str">
        <f t="shared" si="0"/>
        <v/>
      </c>
      <c r="H66" s="65" t="str">
        <f t="shared" si="1"/>
        <v/>
      </c>
      <c r="I66" s="65">
        <f>IF(AND('Section A Column Loading'!F30="",'Section A Column Loading'!G30="",'Section A Column Loading'!H30=""),0,1)</f>
        <v>0</v>
      </c>
      <c r="J66" s="65" t="str">
        <f t="shared" si="2"/>
        <v>UNUSED</v>
      </c>
      <c r="K66" s="65">
        <v>30</v>
      </c>
      <c r="L66" s="65"/>
      <c r="M66" t="str">
        <f>IF('_Input Engine'!A195="","",'_Input Engine'!A195)</f>
        <v/>
      </c>
      <c r="N66" t="str">
        <f>IF(AND(M66&lt;&gt;"",ISNUMBER('_Input Engine'!F195),'_Input Engine'!F195&gt;0),'_Input Engine'!F195,"")</f>
        <v/>
      </c>
      <c r="P66" t="str">
        <f t="shared" si="3"/>
        <v>UNUSED</v>
      </c>
    </row>
    <row r="67" spans="1:16" ht="27" customHeight="1">
      <c r="A67" s="65" t="str">
        <f>IF(I67=0,"",IF('Section A Column Loading'!A31="","",'Section A Column Loading'!A31))</f>
        <v/>
      </c>
      <c r="B67" s="65" t="str">
        <f>IF(I67=0,"",IF('Section A Column Loading'!C31="","",'Section A Column Loading'!C31))</f>
        <v/>
      </c>
      <c r="C67" s="65" t="str">
        <f>IF(I67=0,"",IF('Section A Column Loading'!D31="","",'Section A Column Loading'!D31))</f>
        <v/>
      </c>
      <c r="D67" s="65" t="str">
        <f>IF(I67=0,"",IF('Section A Column Loading'!E31="","",'Section A Column Loading'!E31))</f>
        <v/>
      </c>
      <c r="E67" s="65" t="str">
        <f>IF(I67=0,"",IF('Section A Column Loading'!I31="","",'Section A Column Loading'!I31))</f>
        <v/>
      </c>
      <c r="F67" s="65" t="str">
        <f>IF(I67=0,"",IF('Section A Column Loading'!H31="","",'Section A Column Loading'!H31))</f>
        <v/>
      </c>
      <c r="G67" s="65" t="str">
        <f t="shared" si="0"/>
        <v/>
      </c>
      <c r="H67" s="65" t="str">
        <f t="shared" si="1"/>
        <v/>
      </c>
      <c r="I67" s="65">
        <f>IF(AND('Section A Column Loading'!F31="",'Section A Column Loading'!G31="",'Section A Column Loading'!H31=""),0,1)</f>
        <v>0</v>
      </c>
      <c r="J67" s="65" t="str">
        <f t="shared" si="2"/>
        <v>UNUSED</v>
      </c>
      <c r="K67" s="65">
        <v>31</v>
      </c>
      <c r="L67" s="65"/>
      <c r="M67" t="str">
        <f>IF('_Input Engine'!A196="","",'_Input Engine'!A196)</f>
        <v/>
      </c>
      <c r="N67" t="str">
        <f>IF(AND(M67&lt;&gt;"",ISNUMBER('_Input Engine'!F196),'_Input Engine'!F196&gt;0),'_Input Engine'!F196,"")</f>
        <v/>
      </c>
      <c r="P67" t="str">
        <f t="shared" si="3"/>
        <v>UNUSED</v>
      </c>
    </row>
    <row r="68" spans="1:16" ht="27" customHeight="1">
      <c r="A68" s="65" t="str">
        <f>IF(I68=0,"",IF('Section A Column Loading'!A32="","",'Section A Column Loading'!A32))</f>
        <v/>
      </c>
      <c r="B68" s="65" t="str">
        <f>IF(I68=0,"",IF('Section A Column Loading'!C32="","",'Section A Column Loading'!C32))</f>
        <v/>
      </c>
      <c r="C68" s="65" t="str">
        <f>IF(I68=0,"",IF('Section A Column Loading'!D32="","",'Section A Column Loading'!D32))</f>
        <v/>
      </c>
      <c r="D68" s="65" t="str">
        <f>IF(I68=0,"",IF('Section A Column Loading'!E32="","",'Section A Column Loading'!E32))</f>
        <v/>
      </c>
      <c r="E68" s="65" t="str">
        <f>IF(I68=0,"",IF('Section A Column Loading'!I32="","",'Section A Column Loading'!I32))</f>
        <v/>
      </c>
      <c r="F68" s="65" t="str">
        <f>IF(I68=0,"",IF('Section A Column Loading'!H32="","",'Section A Column Loading'!H32))</f>
        <v/>
      </c>
      <c r="G68" s="65" t="str">
        <f t="shared" si="0"/>
        <v/>
      </c>
      <c r="H68" s="65" t="str">
        <f t="shared" si="1"/>
        <v/>
      </c>
      <c r="I68" s="65">
        <f>IF(AND('Section A Column Loading'!F32="",'Section A Column Loading'!G32="",'Section A Column Loading'!H32=""),0,1)</f>
        <v>0</v>
      </c>
      <c r="J68" s="65" t="str">
        <f t="shared" si="2"/>
        <v>UNUSED</v>
      </c>
      <c r="K68" s="65">
        <v>32</v>
      </c>
      <c r="L68" s="65"/>
      <c r="M68" t="str">
        <f>IF('_Input Engine'!A197="","",'_Input Engine'!A197)</f>
        <v/>
      </c>
      <c r="N68" t="str">
        <f>IF(AND(M68&lt;&gt;"",ISNUMBER('_Input Engine'!F197),'_Input Engine'!F197&gt;0),'_Input Engine'!F197,"")</f>
        <v/>
      </c>
      <c r="P68" t="str">
        <f t="shared" si="3"/>
        <v>UNUSED</v>
      </c>
    </row>
    <row r="69" spans="1:16" ht="27" customHeight="1">
      <c r="A69" s="65" t="str">
        <f>IF(I69=0,"",IF('Section A Column Loading'!A33="","",'Section A Column Loading'!A33))</f>
        <v/>
      </c>
      <c r="B69" s="65" t="str">
        <f>IF(I69=0,"",IF('Section A Column Loading'!C33="","",'Section A Column Loading'!C33))</f>
        <v/>
      </c>
      <c r="C69" s="65" t="str">
        <f>IF(I69=0,"",IF('Section A Column Loading'!D33="","",'Section A Column Loading'!D33))</f>
        <v/>
      </c>
      <c r="D69" s="65" t="str">
        <f>IF(I69=0,"",IF('Section A Column Loading'!E33="","",'Section A Column Loading'!E33))</f>
        <v/>
      </c>
      <c r="E69" s="65" t="str">
        <f>IF(I69=0,"",IF('Section A Column Loading'!I33="","",'Section A Column Loading'!I33))</f>
        <v/>
      </c>
      <c r="F69" s="65" t="str">
        <f>IF(I69=0,"",IF('Section A Column Loading'!H33="","",'Section A Column Loading'!H33))</f>
        <v/>
      </c>
      <c r="G69" s="65" t="str">
        <f t="shared" si="0"/>
        <v/>
      </c>
      <c r="H69" s="65" t="str">
        <f t="shared" si="1"/>
        <v/>
      </c>
      <c r="I69" s="65">
        <f>IF(AND('Section A Column Loading'!F33="",'Section A Column Loading'!G33="",'Section A Column Loading'!H33=""),0,1)</f>
        <v>0</v>
      </c>
      <c r="J69" s="65" t="str">
        <f t="shared" si="2"/>
        <v>UNUSED</v>
      </c>
      <c r="K69" s="65">
        <v>33</v>
      </c>
      <c r="L69" s="65"/>
      <c r="M69" t="str">
        <f>IF('_Input Engine'!A198="","",'_Input Engine'!A198)</f>
        <v/>
      </c>
      <c r="N69" t="str">
        <f>IF(AND(M69&lt;&gt;"",ISNUMBER('_Input Engine'!F198),'_Input Engine'!F198&gt;0),'_Input Engine'!F198,"")</f>
        <v/>
      </c>
      <c r="P69" t="str">
        <f t="shared" si="3"/>
        <v>UNUSED</v>
      </c>
    </row>
    <row r="70" spans="1:16" ht="27" customHeight="1">
      <c r="A70" s="65" t="str">
        <f>IF(I70=0,"",IF('Section A Column Loading'!A34="","",'Section A Column Loading'!A34))</f>
        <v/>
      </c>
      <c r="B70" s="65" t="str">
        <f>IF(I70=0,"",IF('Section A Column Loading'!C34="","",'Section A Column Loading'!C34))</f>
        <v/>
      </c>
      <c r="C70" s="65" t="str">
        <f>IF(I70=0,"",IF('Section A Column Loading'!D34="","",'Section A Column Loading'!D34))</f>
        <v/>
      </c>
      <c r="D70" s="65" t="str">
        <f>IF(I70=0,"",IF('Section A Column Loading'!E34="","",'Section A Column Loading'!E34))</f>
        <v/>
      </c>
      <c r="E70" s="65" t="str">
        <f>IF(I70=0,"",IF('Section A Column Loading'!I34="","",'Section A Column Loading'!I34))</f>
        <v/>
      </c>
      <c r="F70" s="65" t="str">
        <f>IF(I70=0,"",IF('Section A Column Loading'!H34="","",'Section A Column Loading'!H34))</f>
        <v/>
      </c>
      <c r="G70" s="65" t="str">
        <f t="shared" si="0"/>
        <v/>
      </c>
      <c r="H70" s="65" t="str">
        <f t="shared" si="1"/>
        <v/>
      </c>
      <c r="I70" s="65">
        <f>IF(AND('Section A Column Loading'!F34="",'Section A Column Loading'!G34="",'Section A Column Loading'!H34=""),0,1)</f>
        <v>0</v>
      </c>
      <c r="J70" s="65" t="str">
        <f t="shared" si="2"/>
        <v>UNUSED</v>
      </c>
      <c r="K70" s="65">
        <v>34</v>
      </c>
      <c r="L70" s="65"/>
      <c r="M70" t="str">
        <f>IF('_Input Engine'!A199="","",'_Input Engine'!A199)</f>
        <v/>
      </c>
      <c r="N70" t="str">
        <f>IF(AND(M70&lt;&gt;"",ISNUMBER('_Input Engine'!F199),'_Input Engine'!F199&gt;0),'_Input Engine'!F199,"")</f>
        <v/>
      </c>
      <c r="P70" t="str">
        <f t="shared" si="3"/>
        <v>UNUSED</v>
      </c>
    </row>
    <row r="71" spans="1:16" ht="27" customHeight="1">
      <c r="A71" s="65" t="str">
        <f>IF(I71=0,"",IF('Section A Column Loading'!A35="","",'Section A Column Loading'!A35))</f>
        <v/>
      </c>
      <c r="B71" s="65" t="str">
        <f>IF(I71=0,"",IF('Section A Column Loading'!C35="","",'Section A Column Loading'!C35))</f>
        <v/>
      </c>
      <c r="C71" s="65" t="str">
        <f>IF(I71=0,"",IF('Section A Column Loading'!D35="","",'Section A Column Loading'!D35))</f>
        <v/>
      </c>
      <c r="D71" s="65" t="str">
        <f>IF(I71=0,"",IF('Section A Column Loading'!E35="","",'Section A Column Loading'!E35))</f>
        <v/>
      </c>
      <c r="E71" s="65" t="str">
        <f>IF(I71=0,"",IF('Section A Column Loading'!I35="","",'Section A Column Loading'!I35))</f>
        <v/>
      </c>
      <c r="F71" s="65" t="str">
        <f>IF(I71=0,"",IF('Section A Column Loading'!H35="","",'Section A Column Loading'!H35))</f>
        <v/>
      </c>
      <c r="G71" s="65" t="str">
        <f t="shared" si="0"/>
        <v/>
      </c>
      <c r="H71" s="65" t="str">
        <f t="shared" si="1"/>
        <v/>
      </c>
      <c r="I71" s="65">
        <f>IF(AND('Section A Column Loading'!F35="",'Section A Column Loading'!G35="",'Section A Column Loading'!H35=""),0,1)</f>
        <v>0</v>
      </c>
      <c r="J71" s="65" t="str">
        <f t="shared" si="2"/>
        <v>UNUSED</v>
      </c>
      <c r="K71" s="65">
        <v>35</v>
      </c>
      <c r="L71" s="65"/>
      <c r="M71" t="str">
        <f>IF('_Input Engine'!A200="","",'_Input Engine'!A200)</f>
        <v/>
      </c>
      <c r="N71" t="str">
        <f>IF(AND(M71&lt;&gt;"",ISNUMBER('_Input Engine'!F200),'_Input Engine'!F200&gt;0),'_Input Engine'!F200,"")</f>
        <v/>
      </c>
      <c r="P71" t="str">
        <f t="shared" si="3"/>
        <v>UNUSED</v>
      </c>
    </row>
    <row r="72" spans="1:16" ht="27" customHeight="1">
      <c r="A72" s="65"/>
      <c r="B72" s="65"/>
      <c r="C72" s="65"/>
      <c r="D72" s="65"/>
      <c r="E72" s="65"/>
      <c r="F72" s="65"/>
      <c r="G72" s="65"/>
      <c r="H72" s="65"/>
      <c r="I72" s="65"/>
      <c r="J72" s="65"/>
      <c r="K72" s="65"/>
      <c r="L72" s="65"/>
    </row>
  </sheetData>
  <mergeCells count="17">
    <mergeCell ref="A47:B47"/>
    <mergeCell ref="C47:E47"/>
    <mergeCell ref="A48:L49"/>
    <mergeCell ref="I27:L27"/>
    <mergeCell ref="A1:E1"/>
    <mergeCell ref="A9:E10"/>
    <mergeCell ref="H3:L3"/>
    <mergeCell ref="A46:L46"/>
    <mergeCell ref="A12:E12"/>
    <mergeCell ref="H13:L13"/>
    <mergeCell ref="A44:L44"/>
    <mergeCell ref="A45:L45"/>
    <mergeCell ref="H22:L22"/>
    <mergeCell ref="I23:L23"/>
    <mergeCell ref="I24:L24"/>
    <mergeCell ref="I25:L25"/>
    <mergeCell ref="I26:L26"/>
  </mergeCells>
  <phoneticPr fontId="10" type="noConversion"/>
  <conditionalFormatting sqref="L16:L18">
    <cfRule type="expression" dxfId="9" priority="1" stopIfTrue="1">
      <formula>$L16="OK"</formula>
    </cfRule>
    <cfRule type="expression" dxfId="8" priority="2" stopIfTrue="1">
      <formula>$L16="REVIEW"</formula>
    </cfRule>
  </conditionalFormatting>
  <conditionalFormatting sqref="A48">
    <cfRule type="expression" dxfId="7" priority="3" stopIfTrue="1">
      <formula>$C$47="OK"</formula>
    </cfRule>
  </conditionalFormatting>
  <conditionalFormatting sqref="A48:L49">
    <cfRule type="expression" dxfId="6" priority="4" stopIfTrue="1">
      <formula>$C$47="OK (AXIAL ONLY)"</formula>
    </cfRule>
  </conditionalFormatting>
  <dataValidations count="4">
    <dataValidation type="decimal" operator="greaterThan" allowBlank="1" showInputMessage="1" showErrorMessage="1" sqref="C3 C6" xr:uid="{3C8D5761-85E1-4359-A732-37F7371B06AF}">
      <formula1>0</formula1>
    </dataValidation>
    <dataValidation type="list" allowBlank="1" showInputMessage="1" showErrorMessage="1" sqref="C4" xr:uid="{DB0260FC-5315-4BAC-A1EB-A53082861885}">
      <formula1>"Braced,Unbraced"</formula1>
    </dataValidation>
    <dataValidation type="list" allowBlank="1" showInputMessage="1" showErrorMessage="1" sqref="C5" xr:uid="{4AB17098-D4CC-42DB-8272-7CB8C827CC22}">
      <formula1>"32,25,40"</formula1>
    </dataValidation>
    <dataValidation type="whole" operator="greaterThan" allowBlank="1" showInputMessage="1" showErrorMessage="1" errorTitle="Whole bar count" error="Enter a whole number of main bars, at least 4." sqref="C32" xr:uid="{820BEABD-56DD-49E7-9766-1196FF7AAD2D}">
      <formula1>3</formula1>
    </dataValidation>
  </dataValidations>
  <pageMargins left="0.7" right="0.7" top="0.75" bottom="0.75" header="0.3" footer="0.3"/>
  <pageSetup paperSize="9" scale="52"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149B-F9CE-407E-8321-458D80F26089}">
  <sheetPr codeName="Sheet9">
    <tabColor rgb="FF205E73"/>
    <pageSetUpPr fitToPage="1"/>
  </sheetPr>
  <dimension ref="A1:J100"/>
  <sheetViews>
    <sheetView showGridLines="0" zoomScale="90" zoomScaleNormal="90" workbookViewId="0">
      <selection activeCell="L75" sqref="L75"/>
    </sheetView>
  </sheetViews>
  <sheetFormatPr defaultRowHeight="13.8"/>
  <cols>
    <col min="1" max="8" width="11.19921875" customWidth="1"/>
    <col min="10" max="14" width="14.69921875" customWidth="1"/>
  </cols>
  <sheetData>
    <row r="1" spans="1:10" ht="28.05" customHeight="1">
      <c r="A1" s="598" t="s">
        <v>1041</v>
      </c>
      <c r="B1" s="599"/>
      <c r="C1" s="599"/>
      <c r="D1" s="599"/>
      <c r="E1" s="599"/>
      <c r="F1" s="599"/>
      <c r="G1" s="599"/>
      <c r="H1" s="599"/>
    </row>
    <row r="2" spans="1:10" ht="9" customHeight="1">
      <c r="J2" s="183" t="s">
        <v>1077</v>
      </c>
    </row>
    <row r="3" spans="1:10" ht="19.95" customHeight="1">
      <c r="A3" s="596" t="s">
        <v>1058</v>
      </c>
      <c r="B3" s="597"/>
      <c r="C3" s="597"/>
      <c r="D3" s="597"/>
      <c r="E3" s="597"/>
      <c r="F3" s="597"/>
      <c r="G3" s="597"/>
      <c r="H3" s="597"/>
      <c r="J3" s="184" t="s">
        <v>1057</v>
      </c>
    </row>
    <row r="4" spans="1:10" ht="9" customHeight="1"/>
    <row r="5" spans="1:10" ht="19.95" customHeight="1">
      <c r="A5" s="594" t="s">
        <v>1059</v>
      </c>
      <c r="B5" s="595"/>
      <c r="C5" s="595"/>
      <c r="D5" s="595"/>
      <c r="E5" s="595"/>
      <c r="F5" s="595"/>
      <c r="G5" s="595"/>
      <c r="H5" s="595"/>
    </row>
    <row r="6" spans="1:10" ht="19.95" customHeight="1">
      <c r="A6" s="586" t="s">
        <v>1060</v>
      </c>
      <c r="B6" s="587"/>
      <c r="C6" s="587"/>
      <c r="D6" s="587"/>
      <c r="E6" s="587"/>
      <c r="F6" s="587"/>
      <c r="G6" s="587"/>
      <c r="H6" s="587"/>
    </row>
    <row r="7" spans="1:10" ht="19.95" customHeight="1">
      <c r="A7" s="590" t="s">
        <v>1061</v>
      </c>
      <c r="B7" s="591"/>
      <c r="C7" s="591"/>
      <c r="D7" s="591"/>
      <c r="E7" s="591"/>
      <c r="F7" s="591"/>
      <c r="G7" s="591"/>
      <c r="H7" s="591"/>
    </row>
    <row r="8" spans="1:10" ht="9" customHeight="1"/>
    <row r="9" spans="1:10" ht="19.95" customHeight="1">
      <c r="A9" s="594" t="s">
        <v>1042</v>
      </c>
      <c r="B9" s="595"/>
      <c r="C9" s="595"/>
      <c r="D9" s="595"/>
      <c r="E9" s="595"/>
      <c r="F9" s="595"/>
      <c r="G9" s="595"/>
      <c r="H9" s="595"/>
    </row>
    <row r="10" spans="1:10" ht="19.95" customHeight="1">
      <c r="A10" s="586" t="s">
        <v>1043</v>
      </c>
      <c r="B10" s="587"/>
      <c r="C10" s="587"/>
      <c r="D10" s="587"/>
      <c r="E10" s="587"/>
      <c r="F10" s="587"/>
      <c r="G10" s="587"/>
      <c r="H10" s="587"/>
    </row>
    <row r="11" spans="1:10" ht="19.95" customHeight="1">
      <c r="A11" s="586" t="s">
        <v>1044</v>
      </c>
      <c r="B11" s="587"/>
      <c r="C11" s="587"/>
      <c r="D11" s="587"/>
      <c r="E11" s="587"/>
      <c r="F11" s="587"/>
      <c r="G11" s="587"/>
      <c r="H11" s="587"/>
    </row>
    <row r="12" spans="1:10" ht="19.95" customHeight="1">
      <c r="A12" s="586" t="s">
        <v>1045</v>
      </c>
      <c r="B12" s="587"/>
      <c r="C12" s="587"/>
      <c r="D12" s="587"/>
      <c r="E12" s="587"/>
      <c r="F12" s="587"/>
      <c r="G12" s="587"/>
      <c r="H12" s="587"/>
    </row>
    <row r="13" spans="1:10" ht="19.95" customHeight="1">
      <c r="A13" s="586" t="s">
        <v>1046</v>
      </c>
      <c r="B13" s="587"/>
      <c r="C13" s="587"/>
      <c r="D13" s="587"/>
      <c r="E13" s="587"/>
      <c r="F13" s="587"/>
      <c r="G13" s="587"/>
      <c r="H13" s="587"/>
    </row>
    <row r="14" spans="1:10" ht="19.95" customHeight="1">
      <c r="A14" s="586" t="s">
        <v>1047</v>
      </c>
      <c r="B14" s="587"/>
      <c r="C14" s="587"/>
      <c r="D14" s="587"/>
      <c r="E14" s="587"/>
      <c r="F14" s="587"/>
      <c r="G14" s="587"/>
      <c r="H14" s="587"/>
    </row>
    <row r="15" spans="1:10" ht="19.95" customHeight="1">
      <c r="A15" s="590" t="s">
        <v>1048</v>
      </c>
      <c r="B15" s="591"/>
      <c r="C15" s="591"/>
      <c r="D15" s="591"/>
      <c r="E15" s="591"/>
      <c r="F15" s="591"/>
      <c r="G15" s="591"/>
      <c r="H15" s="591"/>
    </row>
    <row r="16" spans="1:10" ht="9" customHeight="1"/>
    <row r="17" spans="1:8" ht="19.95" customHeight="1">
      <c r="A17" s="594" t="s">
        <v>1049</v>
      </c>
      <c r="B17" s="595"/>
      <c r="C17" s="595"/>
      <c r="D17" s="595"/>
      <c r="E17" s="595"/>
      <c r="F17" s="595"/>
      <c r="G17" s="595"/>
      <c r="H17" s="595"/>
    </row>
    <row r="18" spans="1:8" ht="19.95" customHeight="1">
      <c r="A18" s="586" t="s">
        <v>1050</v>
      </c>
      <c r="B18" s="587"/>
      <c r="C18" s="587"/>
      <c r="D18" s="587"/>
      <c r="E18" s="587"/>
      <c r="F18" s="587"/>
      <c r="G18" s="587"/>
      <c r="H18" s="587"/>
    </row>
    <row r="19" spans="1:8" ht="36" customHeight="1">
      <c r="A19" s="592" t="s">
        <v>1062</v>
      </c>
      <c r="B19" s="592"/>
      <c r="C19" s="185"/>
      <c r="D19" s="185" t="s">
        <v>1063</v>
      </c>
      <c r="E19" s="185" t="s">
        <v>1064</v>
      </c>
      <c r="F19" s="185"/>
      <c r="G19" s="185"/>
      <c r="H19" s="185"/>
    </row>
    <row r="20" spans="1:8" ht="25.05" customHeight="1">
      <c r="A20" s="593" t="s">
        <v>1065</v>
      </c>
      <c r="B20" s="593"/>
      <c r="C20" s="332"/>
      <c r="D20" s="332"/>
      <c r="E20" s="332"/>
      <c r="F20" s="332"/>
      <c r="G20" s="332"/>
      <c r="H20" s="332"/>
    </row>
    <row r="21" spans="1:8" ht="25.05" customHeight="1">
      <c r="A21" s="593" t="s">
        <v>1066</v>
      </c>
      <c r="B21" s="593"/>
      <c r="C21" s="332"/>
      <c r="D21" s="333">
        <v>60</v>
      </c>
      <c r="E21" s="332"/>
      <c r="F21" s="332"/>
      <c r="G21" s="332"/>
      <c r="H21" s="332"/>
    </row>
    <row r="22" spans="1:8" ht="25.05" customHeight="1">
      <c r="A22" s="593" t="s">
        <v>1067</v>
      </c>
      <c r="B22" s="593"/>
      <c r="C22" s="332"/>
      <c r="D22" s="333">
        <v>60</v>
      </c>
      <c r="E22" s="332"/>
      <c r="F22" s="332"/>
      <c r="G22" s="332"/>
      <c r="H22" s="332"/>
    </row>
    <row r="23" spans="1:8" ht="19.95" customHeight="1">
      <c r="A23" s="586" t="s">
        <v>1051</v>
      </c>
      <c r="B23" s="587"/>
      <c r="C23" s="587"/>
      <c r="D23" s="587"/>
      <c r="E23" s="587"/>
      <c r="F23" s="587"/>
      <c r="G23" s="587"/>
      <c r="H23" s="587"/>
    </row>
    <row r="24" spans="1:8" ht="19.95" customHeight="1">
      <c r="A24" s="586" t="s">
        <v>1052</v>
      </c>
      <c r="B24" s="587"/>
      <c r="C24" s="587"/>
      <c r="D24" s="587"/>
      <c r="E24" s="587"/>
      <c r="F24" s="587"/>
      <c r="G24" s="587"/>
      <c r="H24" s="587"/>
    </row>
    <row r="25" spans="1:8" ht="19.95" customHeight="1">
      <c r="A25" s="586" t="s">
        <v>1053</v>
      </c>
      <c r="B25" s="587"/>
      <c r="C25" s="587"/>
      <c r="D25" s="587"/>
      <c r="E25" s="587"/>
      <c r="F25" s="587"/>
      <c r="G25" s="587"/>
      <c r="H25" s="587"/>
    </row>
    <row r="26" spans="1:8" ht="28.05" customHeight="1">
      <c r="A26" s="588" t="s">
        <v>1027</v>
      </c>
      <c r="B26" s="589"/>
      <c r="C26" s="589"/>
      <c r="D26" s="589"/>
      <c r="E26" s="589"/>
      <c r="F26" s="589"/>
      <c r="G26" s="589"/>
      <c r="H26" s="589"/>
    </row>
    <row r="27" spans="1:8" ht="19.95" customHeight="1">
      <c r="A27" s="586" t="s">
        <v>1028</v>
      </c>
      <c r="B27" s="587"/>
      <c r="C27" s="587"/>
      <c r="D27" s="587"/>
      <c r="E27" s="587"/>
      <c r="F27" s="587"/>
      <c r="G27" s="587"/>
      <c r="H27" s="587"/>
    </row>
    <row r="28" spans="1:8" ht="19.95" customHeight="1">
      <c r="A28" s="586" t="s">
        <v>1029</v>
      </c>
      <c r="B28" s="587"/>
      <c r="C28" s="587"/>
      <c r="D28" s="587"/>
      <c r="E28" s="587"/>
      <c r="F28" s="587"/>
      <c r="G28" s="587"/>
      <c r="H28" s="587"/>
    </row>
    <row r="29" spans="1:8" ht="19.95" customHeight="1">
      <c r="A29" s="586" t="s">
        <v>1030</v>
      </c>
      <c r="B29" s="587"/>
      <c r="C29" s="587"/>
      <c r="D29" s="587"/>
      <c r="E29" s="587"/>
      <c r="F29" s="587"/>
      <c r="G29" s="587"/>
      <c r="H29" s="587"/>
    </row>
    <row r="30" spans="1:8" ht="19.95" customHeight="1">
      <c r="A30" s="590" t="s">
        <v>1031</v>
      </c>
      <c r="B30" s="591"/>
      <c r="C30" s="591"/>
      <c r="D30" s="591"/>
      <c r="E30" s="591"/>
      <c r="F30" s="591"/>
      <c r="G30" s="591"/>
      <c r="H30" s="591"/>
    </row>
    <row r="31" spans="1:8" ht="9" customHeight="1"/>
    <row r="32" spans="1:8" ht="19.95" customHeight="1">
      <c r="A32" s="594" t="s">
        <v>1032</v>
      </c>
      <c r="B32" s="595"/>
      <c r="C32" s="595"/>
      <c r="D32" s="595"/>
      <c r="E32" s="595"/>
      <c r="F32" s="595"/>
      <c r="G32" s="595"/>
      <c r="H32" s="595"/>
    </row>
    <row r="33" spans="1:8" ht="36" customHeight="1">
      <c r="A33" s="592" t="s">
        <v>1068</v>
      </c>
      <c r="B33" s="592"/>
      <c r="C33" s="185" t="s">
        <v>1069</v>
      </c>
      <c r="D33" s="185" t="s">
        <v>1070</v>
      </c>
      <c r="E33" s="185" t="s">
        <v>1071</v>
      </c>
      <c r="F33" s="185" t="s">
        <v>1072</v>
      </c>
      <c r="G33" s="185" t="s">
        <v>1073</v>
      </c>
      <c r="H33" s="185" t="s">
        <v>1074</v>
      </c>
    </row>
    <row r="34" spans="1:8" ht="25.05" customHeight="1">
      <c r="A34" s="593" t="s">
        <v>1075</v>
      </c>
      <c r="B34" s="593"/>
      <c r="C34" s="333">
        <v>10</v>
      </c>
      <c r="D34" s="333">
        <v>2</v>
      </c>
      <c r="E34" s="333">
        <v>10</v>
      </c>
      <c r="F34" s="333">
        <v>100</v>
      </c>
      <c r="G34" s="333">
        <v>10000</v>
      </c>
      <c r="H34" s="333">
        <v>2000</v>
      </c>
    </row>
    <row r="35" spans="1:8" ht="25.05" customHeight="1">
      <c r="A35" s="600"/>
      <c r="B35" s="600"/>
      <c r="C35" s="334"/>
      <c r="D35" s="334"/>
      <c r="E35" s="334"/>
      <c r="F35" s="334" t="s">
        <v>1076</v>
      </c>
      <c r="G35" s="335">
        <v>10000</v>
      </c>
      <c r="H35" s="335">
        <v>2000</v>
      </c>
    </row>
    <row r="36" spans="1:8" ht="9" customHeight="1"/>
    <row r="37" spans="1:8" ht="19.95" customHeight="1">
      <c r="A37" s="596" t="s">
        <v>1033</v>
      </c>
      <c r="B37" s="597"/>
      <c r="C37" s="597"/>
      <c r="D37" s="597"/>
      <c r="E37" s="597"/>
      <c r="F37" s="597"/>
      <c r="G37" s="597"/>
      <c r="H37" s="597"/>
    </row>
    <row r="38" spans="1:8" ht="9" customHeight="1"/>
    <row r="39" spans="1:8" ht="19.95" customHeight="1">
      <c r="A39" s="594" t="s">
        <v>1034</v>
      </c>
      <c r="B39" s="595"/>
      <c r="C39" s="595"/>
      <c r="D39" s="595"/>
      <c r="E39" s="595"/>
      <c r="F39" s="595"/>
      <c r="G39" s="595"/>
      <c r="H39" s="595"/>
    </row>
    <row r="40" spans="1:8" ht="19.95" customHeight="1">
      <c r="A40" s="586" t="s">
        <v>1035</v>
      </c>
      <c r="B40" s="587"/>
      <c r="C40" s="587"/>
      <c r="D40" s="587"/>
      <c r="E40" s="587"/>
      <c r="F40" s="587"/>
      <c r="G40" s="587"/>
      <c r="H40" s="587"/>
    </row>
    <row r="41" spans="1:8" ht="19.95" customHeight="1">
      <c r="A41" s="586" t="s">
        <v>1036</v>
      </c>
      <c r="B41" s="587"/>
      <c r="C41" s="587"/>
      <c r="D41" s="587"/>
      <c r="E41" s="587"/>
      <c r="F41" s="587"/>
      <c r="G41" s="587"/>
      <c r="H41" s="587"/>
    </row>
    <row r="42" spans="1:8" ht="19.95" customHeight="1">
      <c r="A42" s="586" t="s">
        <v>1054</v>
      </c>
      <c r="B42" s="587"/>
      <c r="C42" s="587"/>
      <c r="D42" s="587"/>
      <c r="E42" s="587"/>
      <c r="F42" s="587"/>
      <c r="G42" s="587"/>
      <c r="H42" s="587"/>
    </row>
    <row r="43" spans="1:8" ht="19.95" customHeight="1">
      <c r="A43" s="586" t="s">
        <v>1037</v>
      </c>
      <c r="B43" s="587"/>
      <c r="C43" s="587"/>
      <c r="D43" s="587"/>
      <c r="E43" s="587"/>
      <c r="F43" s="587"/>
      <c r="G43" s="587"/>
      <c r="H43" s="587"/>
    </row>
    <row r="44" spans="1:8" ht="19.95" customHeight="1">
      <c r="A44" s="586" t="s">
        <v>1038</v>
      </c>
      <c r="B44" s="587"/>
      <c r="C44" s="587"/>
      <c r="D44" s="587"/>
      <c r="E44" s="587"/>
      <c r="F44" s="587"/>
      <c r="G44" s="587"/>
      <c r="H44" s="587"/>
    </row>
    <row r="45" spans="1:8" ht="19.95" customHeight="1">
      <c r="A45" s="586" t="s">
        <v>1055</v>
      </c>
      <c r="B45" s="587"/>
      <c r="C45" s="587"/>
      <c r="D45" s="587"/>
      <c r="E45" s="587"/>
      <c r="F45" s="587"/>
      <c r="G45" s="587"/>
      <c r="H45" s="587"/>
    </row>
    <row r="46" spans="1:8" ht="19.95" customHeight="1">
      <c r="A46" s="590" t="s">
        <v>1056</v>
      </c>
      <c r="B46" s="591"/>
      <c r="C46" s="591"/>
      <c r="D46" s="591"/>
      <c r="E46" s="591"/>
      <c r="F46" s="591"/>
      <c r="G46" s="591"/>
      <c r="H46" s="591"/>
    </row>
    <row r="47" spans="1:8" ht="9" customHeight="1"/>
    <row r="48" spans="1:8" ht="19.95" customHeight="1">
      <c r="A48" s="596" t="s">
        <v>1039</v>
      </c>
      <c r="B48" s="597"/>
      <c r="C48" s="597"/>
      <c r="D48" s="597"/>
      <c r="E48" s="597"/>
      <c r="F48" s="597"/>
      <c r="G48" s="597"/>
      <c r="H48" s="597"/>
    </row>
    <row r="49" ht="9" customHeight="1"/>
    <row r="50" ht="9" customHeight="1"/>
    <row r="51" ht="9" customHeight="1"/>
    <row r="52" ht="16.95" customHeight="1"/>
    <row r="53" ht="16.95" customHeight="1"/>
    <row r="54" ht="16.95" customHeight="1"/>
    <row r="55" ht="16.95" customHeight="1"/>
    <row r="56" ht="16.95" customHeight="1"/>
    <row r="57" ht="16.95" customHeight="1"/>
    <row r="58" ht="16.95" customHeight="1"/>
    <row r="59" ht="16.95" customHeight="1"/>
    <row r="60" ht="16.95" customHeight="1"/>
    <row r="61" ht="16.95" customHeight="1"/>
    <row r="62" ht="16.95" customHeight="1"/>
    <row r="63" ht="16.95" customHeight="1"/>
    <row r="64" ht="16.95" customHeight="1"/>
    <row r="65" ht="16.95" customHeight="1"/>
    <row r="66" ht="16.95" customHeight="1"/>
    <row r="67" ht="16.95" customHeight="1"/>
    <row r="68" ht="16.95" customHeight="1"/>
    <row r="69" ht="16.95" customHeight="1"/>
    <row r="70" ht="16.95" customHeight="1"/>
    <row r="71" ht="16.95" customHeight="1"/>
    <row r="72" ht="16.95" customHeight="1"/>
    <row r="73" ht="16.95" customHeight="1"/>
    <row r="74" ht="16.95" customHeight="1"/>
    <row r="75" ht="16.95" customHeight="1"/>
    <row r="76" ht="16.95" customHeight="1"/>
    <row r="77" ht="16.95" customHeight="1"/>
    <row r="78" ht="16.95" customHeight="1"/>
    <row r="79" ht="16.95" customHeight="1"/>
    <row r="80" ht="16.95" customHeight="1"/>
    <row r="81" ht="16.95" customHeight="1"/>
    <row r="82" ht="16.95" customHeight="1"/>
    <row r="83" ht="16.95" customHeight="1"/>
    <row r="84" ht="16.95" customHeight="1"/>
    <row r="85" ht="16.95" customHeight="1"/>
    <row r="86" ht="16.95" customHeight="1"/>
    <row r="87" ht="16.95" customHeight="1"/>
    <row r="88" ht="16.95" customHeight="1"/>
    <row r="89" ht="16.95" customHeight="1"/>
    <row r="90" ht="16.95" customHeight="1"/>
    <row r="91" ht="16.95" customHeight="1"/>
    <row r="92" ht="16.95" customHeight="1"/>
    <row r="93" ht="16.95" customHeight="1"/>
    <row r="94" ht="16.95" customHeight="1"/>
    <row r="95" ht="16.95" customHeight="1"/>
    <row r="96" ht="16.95" customHeight="1"/>
    <row r="97" ht="16.95" customHeight="1"/>
    <row r="98" ht="16.95" customHeight="1"/>
    <row r="99" ht="16.95" customHeight="1"/>
    <row r="100" ht="16.95" customHeight="1"/>
  </sheetData>
  <mergeCells count="40">
    <mergeCell ref="A39:H39"/>
    <mergeCell ref="A46:H46"/>
    <mergeCell ref="A32:H32"/>
    <mergeCell ref="A33:B33"/>
    <mergeCell ref="A34:B34"/>
    <mergeCell ref="A35:B35"/>
    <mergeCell ref="A37:H37"/>
    <mergeCell ref="A44:H44"/>
    <mergeCell ref="A1:H1"/>
    <mergeCell ref="A10:H10"/>
    <mergeCell ref="A11:H11"/>
    <mergeCell ref="A14:H14"/>
    <mergeCell ref="A3:H3"/>
    <mergeCell ref="A5:H5"/>
    <mergeCell ref="A6:H6"/>
    <mergeCell ref="A7:H7"/>
    <mergeCell ref="A9:H9"/>
    <mergeCell ref="A13:H13"/>
    <mergeCell ref="A48:H48"/>
    <mergeCell ref="A40:H40"/>
    <mergeCell ref="A41:H41"/>
    <mergeCell ref="A42:H42"/>
    <mergeCell ref="A43:H43"/>
    <mergeCell ref="A45:H45"/>
    <mergeCell ref="A23:H23"/>
    <mergeCell ref="A25:H25"/>
    <mergeCell ref="A12:H12"/>
    <mergeCell ref="A19:B19"/>
    <mergeCell ref="A20:B20"/>
    <mergeCell ref="A21:B21"/>
    <mergeCell ref="A22:B22"/>
    <mergeCell ref="A24:H24"/>
    <mergeCell ref="A17:H17"/>
    <mergeCell ref="A18:H18"/>
    <mergeCell ref="A15:H15"/>
    <mergeCell ref="A27:H27"/>
    <mergeCell ref="A28:H28"/>
    <mergeCell ref="A26:H26"/>
    <mergeCell ref="A29:H29"/>
    <mergeCell ref="A30:H30"/>
  </mergeCells>
  <phoneticPr fontId="10" type="noConversion"/>
  <pageMargins left="0.3888888888888889" right="0.3888888888888889" top="0.3888888888888889" bottom="0.3888888888888889" header="0.3" footer="0.3"/>
  <pageSetup paperSize="9" scale="98" fitToHeight="0" orientation="portrait" r:id="rId1"/>
  <headerFooter>
    <oddFooter>&amp;C&amp;P</oddFooter>
  </headerFooter>
  <rowBreaks count="1" manualBreakCount="1">
    <brk id="25"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btnUpdateSectionB">
              <controlPr defaultSize="0" print="0" autoFill="0" autoPict="0" macro="GenerateSectionBCopy">
                <anchor>
                  <from>
                    <xdr:col>9</xdr:col>
                    <xdr:colOff>0</xdr:colOff>
                    <xdr:row>0</xdr:row>
                    <xdr:rowOff>213360</xdr:rowOff>
                  </from>
                  <to>
                    <xdr:col>11</xdr:col>
                    <xdr:colOff>297180</xdr:colOff>
                    <xdr:row>2</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455A1-9F99-4343-AAAB-014FC526D838}">
  <sheetPr codeName="Sheet13">
    <tabColor rgb="FF828C96"/>
    <pageSetUpPr fitToPage="1"/>
  </sheetPr>
  <dimension ref="A1:E27"/>
  <sheetViews>
    <sheetView workbookViewId="0"/>
  </sheetViews>
  <sheetFormatPr defaultRowHeight="13.8"/>
  <cols>
    <col min="1" max="1" width="29" customWidth="1"/>
    <col min="2" max="4" width="15" customWidth="1"/>
    <col min="5" max="5" width="20" customWidth="1"/>
  </cols>
  <sheetData>
    <row r="1" spans="1:5" ht="19.2" customHeight="1">
      <c r="A1" s="89" t="s">
        <v>720</v>
      </c>
      <c r="B1" s="54"/>
      <c r="C1" s="54"/>
      <c r="D1" s="54"/>
      <c r="E1" s="54"/>
    </row>
    <row r="2" spans="1:5" ht="19.2" customHeight="1">
      <c r="A2" s="54"/>
      <c r="B2" s="54"/>
      <c r="C2" s="54"/>
      <c r="D2" s="54"/>
      <c r="E2" s="54"/>
    </row>
    <row r="3" spans="1:5" ht="19.2" customHeight="1">
      <c r="A3" s="54" t="s">
        <v>721</v>
      </c>
      <c r="B3" s="328">
        <v>2</v>
      </c>
      <c r="C3" s="54"/>
      <c r="D3" s="54"/>
      <c r="E3" s="54"/>
    </row>
    <row r="4" spans="1:5" ht="19.2" customHeight="1">
      <c r="A4" s="54"/>
      <c r="B4" s="54"/>
      <c r="C4" s="54"/>
      <c r="D4" s="54"/>
      <c r="E4" s="54"/>
    </row>
    <row r="5" spans="1:5" ht="19.2" customHeight="1">
      <c r="A5" s="54"/>
      <c r="B5" s="54"/>
      <c r="C5" s="54"/>
      <c r="D5" s="54"/>
      <c r="E5" s="54"/>
    </row>
    <row r="6" spans="1:5" ht="19.2" customHeight="1">
      <c r="A6" s="90" t="s">
        <v>722</v>
      </c>
      <c r="B6" s="91">
        <v>1</v>
      </c>
      <c r="C6" s="91">
        <v>2</v>
      </c>
      <c r="D6" s="91">
        <v>4</v>
      </c>
      <c r="E6" s="90" t="s">
        <v>723</v>
      </c>
    </row>
    <row r="7" spans="1:5" ht="19.2" customHeight="1">
      <c r="A7" s="54" t="s">
        <v>724</v>
      </c>
      <c r="B7" s="328">
        <v>20</v>
      </c>
      <c r="C7" s="328">
        <v>35</v>
      </c>
      <c r="D7" s="328">
        <v>55</v>
      </c>
      <c r="E7" s="54">
        <f t="shared" ref="E7:E12" si="0">IFERROR(INDEX(B7:D7,1,MATCH($B$3,$B$6:$D$6,0)),"")</f>
        <v>35</v>
      </c>
    </row>
    <row r="8" spans="1:5" ht="19.2" customHeight="1">
      <c r="A8" s="54" t="s">
        <v>725</v>
      </c>
      <c r="B8" s="328">
        <v>20</v>
      </c>
      <c r="C8" s="328">
        <v>25</v>
      </c>
      <c r="D8" s="328">
        <v>45</v>
      </c>
      <c r="E8" s="54">
        <f t="shared" si="0"/>
        <v>25</v>
      </c>
    </row>
    <row r="9" spans="1:5" ht="19.2" customHeight="1">
      <c r="A9" s="54" t="s">
        <v>726</v>
      </c>
      <c r="B9" s="328">
        <v>30</v>
      </c>
      <c r="C9" s="328">
        <v>50</v>
      </c>
      <c r="D9" s="328">
        <v>80</v>
      </c>
      <c r="E9" s="54">
        <f t="shared" si="0"/>
        <v>50</v>
      </c>
    </row>
    <row r="10" spans="1:5" ht="19.2" customHeight="1">
      <c r="A10" s="54" t="s">
        <v>727</v>
      </c>
      <c r="B10" s="328">
        <v>30</v>
      </c>
      <c r="C10" s="328">
        <v>40</v>
      </c>
      <c r="D10" s="328">
        <v>60</v>
      </c>
      <c r="E10" s="54">
        <f t="shared" si="0"/>
        <v>40</v>
      </c>
    </row>
    <row r="11" spans="1:5" ht="19.2" customHeight="1">
      <c r="A11" s="54" t="s">
        <v>728</v>
      </c>
      <c r="B11" s="328">
        <v>25</v>
      </c>
      <c r="C11" s="328">
        <v>35</v>
      </c>
      <c r="D11" s="328">
        <v>35</v>
      </c>
      <c r="E11" s="54">
        <f>IFERROR(IF(Input!F4="","",INDEX(B11:D11,1,MATCH(Input!F4,$B$6:$D$6,0))),"")</f>
        <v>35</v>
      </c>
    </row>
    <row r="12" spans="1:5" ht="19.2" customHeight="1">
      <c r="A12" s="54" t="s">
        <v>729</v>
      </c>
      <c r="B12" s="328">
        <v>25</v>
      </c>
      <c r="C12" s="328">
        <v>25</v>
      </c>
      <c r="D12" s="328">
        <v>25</v>
      </c>
      <c r="E12" s="54">
        <f t="shared" si="0"/>
        <v>25</v>
      </c>
    </row>
    <row r="13" spans="1:5" ht="19.2" customHeight="1">
      <c r="A13" s="54"/>
      <c r="B13" s="54"/>
      <c r="C13" s="54"/>
      <c r="D13" s="54"/>
      <c r="E13" s="54"/>
    </row>
    <row r="14" spans="1:5" ht="19.2" customHeight="1">
      <c r="A14" s="54"/>
      <c r="B14" s="54"/>
      <c r="C14" s="54"/>
      <c r="D14" s="54"/>
      <c r="E14" s="54"/>
    </row>
    <row r="15" spans="1:5" ht="19.2" customHeight="1">
      <c r="A15" s="54" t="s">
        <v>730</v>
      </c>
      <c r="B15" s="54"/>
      <c r="C15" s="54"/>
      <c r="D15" s="54"/>
      <c r="E15" s="54"/>
    </row>
    <row r="16" spans="1:5" ht="19.2" customHeight="1">
      <c r="A16" s="54" t="s">
        <v>101</v>
      </c>
      <c r="B16" s="603" t="s">
        <v>731</v>
      </c>
      <c r="C16" s="603"/>
      <c r="D16" s="603"/>
      <c r="E16" s="54" t="s">
        <v>650</v>
      </c>
    </row>
    <row r="17" spans="1:5" ht="19.2" customHeight="1">
      <c r="A17" s="54" t="s">
        <v>111</v>
      </c>
      <c r="B17" s="603" t="str">
        <f>'Section B Slab Check'!C3</f>
        <v>Simply-supported</v>
      </c>
      <c r="C17" s="603"/>
      <c r="D17" s="603"/>
      <c r="E17" s="54" t="str">
        <f>IF('Section B Slab Check'!C7="","",'Section B Slab Check'!C7)</f>
        <v/>
      </c>
    </row>
    <row r="18" spans="1:5" ht="19.2" customHeight="1">
      <c r="A18" s="54" t="s">
        <v>732</v>
      </c>
      <c r="B18" s="603" t="str">
        <f>IFERROR(INDEX('Section A Transfer Beam'!U6:U25,'Section B Transfer Beam Check'!T13-5)&amp;"","")</f>
        <v>End span</v>
      </c>
      <c r="C18" s="603"/>
      <c r="D18" s="603"/>
      <c r="E18" s="54">
        <f>IFERROR(IF(Input!F5="","",IF(B18="Simply-supported",INDEX(B9:D9,1,MATCH(Input!F5,$B$6:$D$6,0)),IF(OR(B18="CON",B18="Continuous",B18="End span"),INDEX(B10:D10,1,MATCH(Input!F5,$B$6:$D$6,0)),""))),"")</f>
        <v>40</v>
      </c>
    </row>
    <row r="19" spans="1:5" ht="19.2" customHeight="1">
      <c r="A19" s="54" t="s">
        <v>728</v>
      </c>
      <c r="B19" s="603"/>
      <c r="C19" s="603"/>
      <c r="D19" s="603"/>
      <c r="E19" s="54">
        <f>E11</f>
        <v>35</v>
      </c>
    </row>
    <row r="20" spans="1:5" ht="19.2" customHeight="1">
      <c r="A20" s="54" t="s">
        <v>729</v>
      </c>
      <c r="B20" s="603"/>
      <c r="C20" s="603"/>
      <c r="D20" s="603"/>
      <c r="E20" s="54">
        <f>E12</f>
        <v>25</v>
      </c>
    </row>
    <row r="21" spans="1:5" ht="19.2" customHeight="1">
      <c r="A21" s="54"/>
      <c r="B21" s="54"/>
      <c r="C21" s="54"/>
      <c r="D21" s="54"/>
      <c r="E21" s="54"/>
    </row>
    <row r="22" spans="1:5" ht="42" customHeight="1">
      <c r="A22" s="602" t="s">
        <v>1086</v>
      </c>
      <c r="B22" s="602"/>
      <c r="C22" s="602"/>
      <c r="D22" s="602"/>
      <c r="E22" s="602"/>
    </row>
    <row r="23" spans="1:5" ht="25.65" customHeight="1">
      <c r="A23" s="601" t="s">
        <v>733</v>
      </c>
      <c r="B23" s="601"/>
      <c r="C23" s="601"/>
      <c r="D23" s="601"/>
      <c r="E23" s="601"/>
    </row>
    <row r="24" spans="1:5" ht="42" customHeight="1">
      <c r="A24" s="602" t="s">
        <v>1160</v>
      </c>
      <c r="B24" s="602"/>
      <c r="C24" s="602"/>
      <c r="D24" s="602"/>
      <c r="E24" s="602"/>
    </row>
    <row r="25" spans="1:5" ht="25.65" customHeight="1">
      <c r="A25" s="601" t="s">
        <v>734</v>
      </c>
      <c r="B25" s="601"/>
      <c r="C25" s="601"/>
      <c r="D25" s="601"/>
      <c r="E25" s="601"/>
    </row>
    <row r="26" spans="1:5">
      <c r="A26" s="422" t="s">
        <v>1161</v>
      </c>
      <c r="B26" s="423"/>
      <c r="C26" s="423"/>
      <c r="D26" s="423"/>
      <c r="E26" s="423"/>
    </row>
    <row r="27" spans="1:5">
      <c r="A27" s="423"/>
      <c r="B27" s="423"/>
      <c r="C27" s="423"/>
      <c r="D27" s="423"/>
      <c r="E27" s="423"/>
    </row>
  </sheetData>
  <mergeCells count="10">
    <mergeCell ref="A26:E27"/>
    <mergeCell ref="A23:E23"/>
    <mergeCell ref="A24:E24"/>
    <mergeCell ref="A25:E25"/>
    <mergeCell ref="B16:D16"/>
    <mergeCell ref="B17:D17"/>
    <mergeCell ref="B18:D18"/>
    <mergeCell ref="B19:D19"/>
    <mergeCell ref="B20:D20"/>
    <mergeCell ref="A22:E22"/>
  </mergeCells>
  <phoneticPr fontId="10" type="noConversion"/>
  <dataValidations count="1">
    <dataValidation type="list" sqref="B3" xr:uid="{9D76619B-841F-4E0F-B3F4-76C2A4D49A6D}">
      <formula1>"1,2,4"</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34B2-821D-4973-98DD-A1D987F03B40}">
  <sheetPr codeName="Sheet8">
    <tabColor rgb="FF0070C0"/>
    <pageSetUpPr fitToPage="1"/>
  </sheetPr>
  <dimension ref="A1:FS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75"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c r="DG1" t="s">
        <v>960</v>
      </c>
    </row>
    <row r="2" spans="1:175" ht="30" customHeight="1">
      <c r="A2" s="60" t="s">
        <v>1105</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c r="DG2">
        <v>46276.874351851853</v>
      </c>
    </row>
    <row r="3" spans="1:175" ht="30" customHeight="1">
      <c r="A3" s="602" t="s">
        <v>535</v>
      </c>
      <c r="B3" s="602"/>
      <c r="C3" s="602"/>
      <c r="D3" s="602"/>
      <c r="E3" s="602"/>
      <c r="F3" s="47"/>
      <c r="G3" s="47"/>
      <c r="H3" s="47"/>
      <c r="I3" s="47"/>
      <c r="J3" s="47"/>
      <c r="K3" s="47"/>
      <c r="L3" s="47"/>
      <c r="M3" s="47"/>
      <c r="N3" s="47"/>
      <c r="O3" s="47"/>
      <c r="P3" s="47"/>
      <c r="Q3" s="47"/>
      <c r="R3" s="47"/>
      <c r="S3" s="47"/>
      <c r="T3" s="47"/>
      <c r="U3" s="47"/>
      <c r="V3" s="47"/>
      <c r="W3" s="47"/>
      <c r="X3" s="47"/>
      <c r="DG3" t="s">
        <v>1009</v>
      </c>
    </row>
    <row r="4" spans="1:175" ht="42" customHeight="1">
      <c r="A4" s="47" t="s">
        <v>377</v>
      </c>
      <c r="B4" s="47"/>
      <c r="C4" s="322">
        <f>'Section B Transfer Beam Check'!T13</f>
        <v>6</v>
      </c>
      <c r="D4" s="47"/>
      <c r="E4" s="48" t="s">
        <v>1106</v>
      </c>
      <c r="F4" s="47"/>
      <c r="G4" s="47"/>
      <c r="H4" s="47"/>
      <c r="I4" s="47"/>
      <c r="J4" s="47"/>
      <c r="K4" s="47"/>
      <c r="L4" s="47"/>
      <c r="M4" s="47"/>
      <c r="N4" s="47"/>
      <c r="O4" s="47"/>
      <c r="P4" s="47"/>
      <c r="Q4" s="47"/>
      <c r="R4" s="47"/>
      <c r="S4" s="47"/>
      <c r="T4" s="47"/>
      <c r="U4" s="47"/>
      <c r="V4" s="47"/>
      <c r="W4" s="47"/>
      <c r="X4" s="47"/>
    </row>
    <row r="5" spans="1:175" ht="30" customHeight="1">
      <c r="A5" s="47"/>
      <c r="B5" s="47"/>
      <c r="C5" s="49"/>
      <c r="D5" s="47"/>
      <c r="E5" s="48"/>
      <c r="F5" s="47"/>
      <c r="G5" s="47"/>
      <c r="H5" s="47"/>
      <c r="I5" s="47"/>
      <c r="J5" s="47"/>
      <c r="K5" s="47"/>
      <c r="L5" s="47"/>
      <c r="M5" s="47"/>
      <c r="N5" s="47"/>
      <c r="O5" s="47"/>
      <c r="P5" s="47"/>
      <c r="Q5" s="47"/>
      <c r="R5" s="47"/>
      <c r="S5" s="47"/>
      <c r="T5" s="47"/>
      <c r="U5" s="47"/>
      <c r="V5" s="47"/>
      <c r="W5" s="47"/>
      <c r="X5" s="47"/>
    </row>
    <row r="6" spans="1:175" ht="30" customHeight="1">
      <c r="A6" s="47" t="s">
        <v>101</v>
      </c>
      <c r="B6" s="47"/>
      <c r="C6" s="49" t="str">
        <f>IF(INDEX('Section A Transfer Beam'!$A$6:$A$25,$C$4-5)="","",INDEX('Section A Transfer Beam'!$A$6:$A$25,$C$4-5))</f>
        <v/>
      </c>
      <c r="D6" s="47"/>
      <c r="E6" s="48"/>
      <c r="F6" s="47"/>
      <c r="G6" s="47"/>
      <c r="H6" s="47"/>
      <c r="I6" s="47"/>
      <c r="J6" s="47"/>
      <c r="K6" s="47"/>
      <c r="L6" s="47"/>
      <c r="M6" s="47"/>
      <c r="N6" s="47"/>
      <c r="O6" s="47"/>
      <c r="P6" s="47"/>
      <c r="Q6" s="47"/>
      <c r="R6" s="47"/>
      <c r="S6" s="47"/>
      <c r="T6" s="47"/>
      <c r="U6" s="47"/>
      <c r="V6" s="47"/>
      <c r="W6" s="47"/>
      <c r="X6" s="47"/>
      <c r="BA6" t="s">
        <v>1005</v>
      </c>
      <c r="BB6" t="str">
        <f>'Section A Transfer Beam'!$A$6&amp;"|"&amp;'Section A Transfer Beam'!$B$6&amp;"|"&amp;'Section A Transfer Beam'!$C$6&amp;"|"&amp;'Section A Transfer Beam'!$E$6&amp;"|"&amp;'Section A Transfer Beam'!$F$6&amp;"|"&amp;'Section A Transfer Beam'!$H$6&amp;"|"&amp;'Section A Transfer Beam'!$I$6&amp;"|"&amp;'Section A Transfer Beam'!$K$6&amp;"|"&amp;'Section A Transfer Beam'!$L$6&amp;"|"&amp;'Section A Transfer Beam'!$N$6&amp;"|"&amp;'Section A Transfer Beam'!$O$6&amp;"|"&amp;'Section A Transfer Beam'!$Q$6&amp;"|"&amp;'Section A Transfer Beam'!$R$6&amp;"|"&amp;'Section A Transfer Beam'!$S$6&amp;"|"&amp;'Section A Transfer Beam'!$T$6&amp;"|"&amp;'Section A Transfer Beam'!$U$6&amp;"|"&amp;'Section A Transfer Beam'!$V$6&amp;"|"&amp;'Section A Transfer Beam'!$W$6&amp;"|"&amp;'Section A Transfer Beam'!$X$6&amp;"|"&amp;'Section A Transfer Beam'!$Y$6&amp;"|"&amp;'Section A Transfer Beam'!$Z$6&amp;"|"&amp;'Section A Transfer Beam'!$D$6&amp;"|"&amp;'Section A Transfer Beam'!$G$6&amp;"|"&amp;'Section A Transfer Beam'!$J$6&amp;"|"&amp;'Section A Transfer Beam'!$M$6&amp;"|"&amp;'Section A Transfer Beam'!$P$6&amp;"|cover|"&amp;'Section B Concrete Cover'!$B$3&amp;"|"&amp;'Section B Concrete Cover'!$E$9&amp;"|"&amp;'Section B Concrete Cover'!$E$10</f>
        <v>|||||||||||||0|1|End span||23|||60||||||cover|2|50|40</v>
      </c>
      <c r="BC6" t="s">
        <v>741</v>
      </c>
      <c r="BD6" s="85" t="s">
        <v>1092</v>
      </c>
      <c r="BF6" t="s">
        <v>648</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1014</v>
      </c>
      <c r="ET6">
        <v>2</v>
      </c>
      <c r="EU6">
        <v>16</v>
      </c>
      <c r="FB6">
        <v>2</v>
      </c>
      <c r="FC6">
        <v>16</v>
      </c>
      <c r="FJ6" s="86">
        <v>2</v>
      </c>
      <c r="FK6">
        <v>10</v>
      </c>
      <c r="FL6">
        <v>200</v>
      </c>
      <c r="FM6">
        <v>2</v>
      </c>
      <c r="FP6">
        <v>40</v>
      </c>
      <c r="FQ6">
        <v>250</v>
      </c>
      <c r="FR6">
        <v>150</v>
      </c>
      <c r="FS6">
        <v>4</v>
      </c>
    </row>
    <row r="7" spans="1:175" ht="30" customHeight="1">
      <c r="A7" s="47" t="s">
        <v>378</v>
      </c>
      <c r="B7" s="47"/>
      <c r="C7" s="49" t="str">
        <f>IF(INDEX('Section A Transfer Beam'!$B$6:$B$25,$C$4-5)="","",INDEX('Section A Transfer Beam'!$B$6:$B$25,$C$4-5))</f>
        <v/>
      </c>
      <c r="D7" s="47" t="s">
        <v>345</v>
      </c>
      <c r="E7" s="48"/>
      <c r="F7" s="47"/>
      <c r="G7" s="47"/>
      <c r="H7" s="47"/>
      <c r="I7" s="47"/>
      <c r="J7" s="47"/>
      <c r="K7" s="47"/>
      <c r="L7" s="47"/>
      <c r="M7" s="47"/>
      <c r="N7" s="47"/>
      <c r="O7" s="47"/>
      <c r="P7" s="47"/>
      <c r="Q7" s="47"/>
      <c r="R7" s="47"/>
      <c r="S7" s="47"/>
      <c r="T7" s="47"/>
      <c r="U7" s="47"/>
      <c r="V7" s="47"/>
      <c r="W7" s="47"/>
      <c r="X7" s="47"/>
      <c r="BB7" t="str">
        <f>'Section A Transfer Beam'!$A$7&amp;"|"&amp;'Section A Transfer Beam'!$B$7&amp;"|"&amp;'Section A Transfer Beam'!$C$7&amp;"|"&amp;'Section A Transfer Beam'!$E$7&amp;"|"&amp;'Section A Transfer Beam'!$F$7&amp;"|"&amp;'Section A Transfer Beam'!$H$7&amp;"|"&amp;'Section A Transfer Beam'!$I$7&amp;"|"&amp;'Section A Transfer Beam'!$K$7&amp;"|"&amp;'Section A Transfer Beam'!$L$7&amp;"|"&amp;'Section A Transfer Beam'!$N$7&amp;"|"&amp;'Section A Transfer Beam'!$O$7&amp;"|"&amp;'Section A Transfer Beam'!$Q$7&amp;"|"&amp;'Section A Transfer Beam'!$R$7&amp;"|"&amp;'Section A Transfer Beam'!$S$7&amp;"|"&amp;'Section A Transfer Beam'!$T$7&amp;"|"&amp;'Section A Transfer Beam'!$U$7&amp;"|"&amp;'Section A Transfer Beam'!$V$7&amp;"|"&amp;'Section A Transfer Beam'!$W$7&amp;"|"&amp;'Section A Transfer Beam'!$X$7&amp;"|"&amp;'Section A Transfer Beam'!$Y$7&amp;"|"&amp;'Section A Transfer Beam'!$Z$7&amp;"|"&amp;'Section A Transfer Beam'!$D$7&amp;"|"&amp;'Section A Transfer Beam'!$G$7&amp;"|"&amp;'Section A Transfer Beam'!$J$7&amp;"|"&amp;'Section A Transfer Beam'!$M$7&amp;"|"&amp;'Section A Transfer Beam'!$P$7&amp;"|cover|"&amp;'Section B Concrete Cover'!$B$3&amp;"|"&amp;'Section B Concrete Cover'!$E$9&amp;"|"&amp;'Section B Concrete Cover'!$E$10</f>
        <v>|||||||||||||0|1|End span||23|||60||||||cover|2|50|40</v>
      </c>
      <c r="BD7" s="85" t="s">
        <v>1092</v>
      </c>
    </row>
    <row r="8" spans="1:175" ht="42" customHeight="1">
      <c r="A8" s="47" t="s">
        <v>379</v>
      </c>
      <c r="B8" s="47"/>
      <c r="C8" s="49">
        <f>IF(INDEX('Section A Transfer Beam'!$T$6:$T$25,$C$4-5)="","",INDEX('Section A Transfer Beam'!$T$6:$T$25,$C$4-5)*1000)</f>
        <v>1000</v>
      </c>
      <c r="D8" s="47" t="s">
        <v>346</v>
      </c>
      <c r="E8" s="48"/>
      <c r="F8" s="47"/>
      <c r="G8" s="47"/>
      <c r="H8" s="47"/>
      <c r="I8" s="47"/>
      <c r="J8" s="47"/>
      <c r="K8" s="47"/>
      <c r="L8" s="47"/>
      <c r="M8" s="47"/>
      <c r="N8" s="47"/>
      <c r="O8" s="47"/>
      <c r="P8" s="47"/>
      <c r="Q8" s="47"/>
      <c r="R8" s="47"/>
      <c r="S8" s="47"/>
      <c r="T8" s="47"/>
      <c r="U8" s="47"/>
      <c r="V8" s="47"/>
      <c r="W8" s="47"/>
      <c r="X8" s="47"/>
      <c r="BB8" t="str">
        <f>'Section A Transfer Beam'!$A$8&amp;"|"&amp;'Section A Transfer Beam'!$B$8&amp;"|"&amp;'Section A Transfer Beam'!$C$8&amp;"|"&amp;'Section A Transfer Beam'!$E$8&amp;"|"&amp;'Section A Transfer Beam'!$F$8&amp;"|"&amp;'Section A Transfer Beam'!$H$8&amp;"|"&amp;'Section A Transfer Beam'!$I$8&amp;"|"&amp;'Section A Transfer Beam'!$K$8&amp;"|"&amp;'Section A Transfer Beam'!$L$8&amp;"|"&amp;'Section A Transfer Beam'!$N$8&amp;"|"&amp;'Section A Transfer Beam'!$O$8&amp;"|"&amp;'Section A Transfer Beam'!$Q$8&amp;"|"&amp;'Section A Transfer Beam'!$R$8&amp;"|"&amp;'Section A Transfer Beam'!$S$8&amp;"|"&amp;'Section A Transfer Beam'!$T$8&amp;"|"&amp;'Section A Transfer Beam'!$U$8&amp;"|"&amp;'Section A Transfer Beam'!$V$8&amp;"|"&amp;'Section A Transfer Beam'!$W$8&amp;"|"&amp;'Section A Transfer Beam'!$X$8&amp;"|"&amp;'Section A Transfer Beam'!$Y$8&amp;"|"&amp;'Section A Transfer Beam'!$Z$8&amp;"|"&amp;'Section A Transfer Beam'!$D$8&amp;"|"&amp;'Section A Transfer Beam'!$G$8&amp;"|"&amp;'Section A Transfer Beam'!$J$8&amp;"|"&amp;'Section A Transfer Beam'!$M$8&amp;"|"&amp;'Section A Transfer Beam'!$P$8&amp;"|cover|"&amp;'Section B Concrete Cover'!$B$3&amp;"|"&amp;'Section B Concrete Cover'!$E$9&amp;"|"&amp;'Section B Concrete Cover'!$E$10</f>
        <v>|||||||||||||0|1|End span||23|||60||||||cover|2|50|40</v>
      </c>
      <c r="BD8" s="85" t="s">
        <v>1092</v>
      </c>
    </row>
    <row r="9" spans="1:175" ht="30" customHeight="1">
      <c r="A9" s="47" t="s">
        <v>347</v>
      </c>
      <c r="B9" s="47"/>
      <c r="C9" s="49" t="str">
        <f>IF(INDEX('Section A Transfer Beam'!$C$6:$C$25,$C$4-5)="","",INDEX('Section A Transfer Beam'!$C$6:$C$25,$C$4-5))</f>
        <v/>
      </c>
      <c r="D9" s="47" t="s">
        <v>346</v>
      </c>
      <c r="E9" s="48"/>
      <c r="F9" s="47"/>
      <c r="G9" s="47"/>
      <c r="H9" s="47"/>
      <c r="I9" s="47"/>
      <c r="J9" s="47"/>
      <c r="K9" s="47"/>
      <c r="L9" s="47"/>
      <c r="M9" s="47"/>
      <c r="N9" s="47"/>
      <c r="O9" s="47"/>
      <c r="P9" s="47"/>
      <c r="Q9" s="47"/>
      <c r="R9" s="47"/>
      <c r="S9" s="47"/>
      <c r="T9" s="47"/>
      <c r="U9" s="47"/>
      <c r="V9" s="47"/>
      <c r="W9" s="47"/>
      <c r="X9" s="47"/>
      <c r="BB9" t="str">
        <f>'Section A Transfer Beam'!$A$9&amp;"|"&amp;'Section A Transfer Beam'!$B$9&amp;"|"&amp;'Section A Transfer Beam'!$C$9&amp;"|"&amp;'Section A Transfer Beam'!$E$9&amp;"|"&amp;'Section A Transfer Beam'!$F$9&amp;"|"&amp;'Section A Transfer Beam'!$H$9&amp;"|"&amp;'Section A Transfer Beam'!$I$9&amp;"|"&amp;'Section A Transfer Beam'!$K$9&amp;"|"&amp;'Section A Transfer Beam'!$L$9&amp;"|"&amp;'Section A Transfer Beam'!$N$9&amp;"|"&amp;'Section A Transfer Beam'!$O$9&amp;"|"&amp;'Section A Transfer Beam'!$Q$9&amp;"|"&amp;'Section A Transfer Beam'!$R$9&amp;"|"&amp;'Section A Transfer Beam'!$S$9&amp;"|"&amp;'Section A Transfer Beam'!$T$9&amp;"|"&amp;'Section A Transfer Beam'!$U$9&amp;"|"&amp;'Section A Transfer Beam'!$V$9&amp;"|"&amp;'Section A Transfer Beam'!$W$9&amp;"|"&amp;'Section A Transfer Beam'!$X$9&amp;"|"&amp;'Section A Transfer Beam'!$Y$9&amp;"|"&amp;'Section A Transfer Beam'!$Z$9&amp;"|"&amp;'Section A Transfer Beam'!$D$9&amp;"|"&amp;'Section A Transfer Beam'!$G$9&amp;"|"&amp;'Section A Transfer Beam'!$J$9&amp;"|"&amp;'Section A Transfer Beam'!$M$9&amp;"|"&amp;'Section A Transfer Beam'!$P$9&amp;"|cover|"&amp;'Section B Concrete Cover'!$B$3&amp;"|"&amp;'Section B Concrete Cover'!$E$9&amp;"|"&amp;'Section B Concrete Cover'!$E$10</f>
        <v>|||||||||||||0|1|End span||23|||60||||||cover|2|50|40</v>
      </c>
      <c r="BD9" s="85" t="s">
        <v>1092</v>
      </c>
    </row>
    <row r="10" spans="1:175" ht="30" customHeight="1">
      <c r="A10" s="47" t="s">
        <v>348</v>
      </c>
      <c r="B10" s="47"/>
      <c r="C10" s="322">
        <f>IF(INDEX('Section A Transfer Beam'!$Z$6:$Z$25,$C$4-5)="","",INDEX('Section A Transfer Beam'!$Z$6:$Z$25,$C$4-5))</f>
        <v>60</v>
      </c>
      <c r="D10" s="47" t="s">
        <v>349</v>
      </c>
      <c r="E10" s="48"/>
      <c r="F10" s="47"/>
      <c r="G10" s="47"/>
      <c r="H10" s="47"/>
      <c r="I10" s="47"/>
      <c r="J10" s="47"/>
      <c r="K10" s="47"/>
      <c r="L10" s="47"/>
      <c r="M10" s="47"/>
      <c r="N10" s="47"/>
      <c r="O10" s="47"/>
      <c r="P10" s="47"/>
      <c r="Q10" s="47"/>
      <c r="R10" s="47"/>
      <c r="S10" s="47"/>
      <c r="T10" s="47"/>
      <c r="U10" s="47"/>
      <c r="V10" s="47"/>
      <c r="W10" s="47"/>
      <c r="X10" s="47"/>
      <c r="BB10" t="str">
        <f>'Section A Transfer Beam'!$A$10&amp;"|"&amp;'Section A Transfer Beam'!$B$10&amp;"|"&amp;'Section A Transfer Beam'!$C$10&amp;"|"&amp;'Section A Transfer Beam'!$E$10&amp;"|"&amp;'Section A Transfer Beam'!$F$10&amp;"|"&amp;'Section A Transfer Beam'!$H$10&amp;"|"&amp;'Section A Transfer Beam'!$I$10&amp;"|"&amp;'Section A Transfer Beam'!$K$10&amp;"|"&amp;'Section A Transfer Beam'!$L$10&amp;"|"&amp;'Section A Transfer Beam'!$N$10&amp;"|"&amp;'Section A Transfer Beam'!$O$10&amp;"|"&amp;'Section A Transfer Beam'!$Q$10&amp;"|"&amp;'Section A Transfer Beam'!$R$10&amp;"|"&amp;'Section A Transfer Beam'!$S$10&amp;"|"&amp;'Section A Transfer Beam'!$T$10&amp;"|"&amp;'Section A Transfer Beam'!$U$10&amp;"|"&amp;'Section A Transfer Beam'!$V$10&amp;"|"&amp;'Section A Transfer Beam'!$W$10&amp;"|"&amp;'Section A Transfer Beam'!$X$10&amp;"|"&amp;'Section A Transfer Beam'!$Y$10&amp;"|"&amp;'Section A Transfer Beam'!$Z$10&amp;"|"&amp;'Section A Transfer Beam'!$D$10&amp;"|"&amp;'Section A Transfer Beam'!$G$10&amp;"|"&amp;'Section A Transfer Beam'!$J$10&amp;"|"&amp;'Section A Transfer Beam'!$M$10&amp;"|"&amp;'Section A Transfer Beam'!$P$10&amp;"|cover|"&amp;'Section B Concrete Cover'!$B$3&amp;"|"&amp;'Section B Concrete Cover'!$E$9&amp;"|"&amp;'Section B Concrete Cover'!$E$10</f>
        <v>|||||||||||||0|1|End span||23|||60||||||cover|2|50|40</v>
      </c>
      <c r="BD10" s="85" t="s">
        <v>1092</v>
      </c>
    </row>
    <row r="11" spans="1:175"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'Section A Transfer Beam'!$A$11&amp;"|"&amp;'Section A Transfer Beam'!$B$11&amp;"|"&amp;'Section A Transfer Beam'!$C$11&amp;"|"&amp;'Section A Transfer Beam'!$E$11&amp;"|"&amp;'Section A Transfer Beam'!$F$11&amp;"|"&amp;'Section A Transfer Beam'!$H$11&amp;"|"&amp;'Section A Transfer Beam'!$I$11&amp;"|"&amp;'Section A Transfer Beam'!$K$11&amp;"|"&amp;'Section A Transfer Beam'!$L$11&amp;"|"&amp;'Section A Transfer Beam'!$N$11&amp;"|"&amp;'Section A Transfer Beam'!$O$11&amp;"|"&amp;'Section A Transfer Beam'!$Q$11&amp;"|"&amp;'Section A Transfer Beam'!$R$11&amp;"|"&amp;'Section A Transfer Beam'!$S$11&amp;"|"&amp;'Section A Transfer Beam'!$T$11&amp;"|"&amp;'Section A Transfer Beam'!$U$11&amp;"|"&amp;'Section A Transfer Beam'!$V$11&amp;"|"&amp;'Section A Transfer Beam'!$W$11&amp;"|"&amp;'Section A Transfer Beam'!$X$11&amp;"|"&amp;'Section A Transfer Beam'!$Y$11&amp;"|"&amp;'Section A Transfer Beam'!$Z$11&amp;"|"&amp;'Section A Transfer Beam'!$D$11&amp;"|"&amp;'Section A Transfer Beam'!$G$11&amp;"|"&amp;'Section A Transfer Beam'!$J$11&amp;"|"&amp;'Section A Transfer Beam'!$M$11&amp;"|"&amp;'Section A Transfer Beam'!$P$11&amp;"|cover|"&amp;'Section B Concrete Cover'!$B$3&amp;"|"&amp;'Section B Concrete Cover'!$E$9&amp;"|"&amp;'Section B Concrete Cover'!$E$10</f>
        <v>|||||||||||||0|1|End span||23|||60||||||cover|2|50|40</v>
      </c>
      <c r="BD11" s="85" t="s">
        <v>1092</v>
      </c>
    </row>
    <row r="12" spans="1:175"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'Section A Transfer Beam'!$A$12&amp;"|"&amp;'Section A Transfer Beam'!$B$12&amp;"|"&amp;'Section A Transfer Beam'!$C$12&amp;"|"&amp;'Section A Transfer Beam'!$E$12&amp;"|"&amp;'Section A Transfer Beam'!$F$12&amp;"|"&amp;'Section A Transfer Beam'!$H$12&amp;"|"&amp;'Section A Transfer Beam'!$I$12&amp;"|"&amp;'Section A Transfer Beam'!$K$12&amp;"|"&amp;'Section A Transfer Beam'!$L$12&amp;"|"&amp;'Section A Transfer Beam'!$N$12&amp;"|"&amp;'Section A Transfer Beam'!$O$12&amp;"|"&amp;'Section A Transfer Beam'!$Q$12&amp;"|"&amp;'Section A Transfer Beam'!$R$12&amp;"|"&amp;'Section A Transfer Beam'!$S$12&amp;"|"&amp;'Section A Transfer Beam'!$T$12&amp;"|"&amp;'Section A Transfer Beam'!$U$12&amp;"|"&amp;'Section A Transfer Beam'!$V$12&amp;"|"&amp;'Section A Transfer Beam'!$W$12&amp;"|"&amp;'Section A Transfer Beam'!$X$12&amp;"|"&amp;'Section A Transfer Beam'!$Y$12&amp;"|"&amp;'Section A Transfer Beam'!$Z$12&amp;"|"&amp;'Section A Transfer Beam'!$D$12&amp;"|"&amp;'Section A Transfer Beam'!$G$12&amp;"|"&amp;'Section A Transfer Beam'!$J$12&amp;"|"&amp;'Section A Transfer Beam'!$M$12&amp;"|"&amp;'Section A Transfer Beam'!$P$12&amp;"|cover|"&amp;'Section B Concrete Cover'!$B$3&amp;"|"&amp;'Section B Concrete Cover'!$E$9&amp;"|"&amp;'Section B Concrete Cover'!$E$10</f>
        <v>|||||||||||||0|1|End span||23|||60||||||cover|2|50|40</v>
      </c>
      <c r="BD12" s="85" t="s">
        <v>1092</v>
      </c>
    </row>
    <row r="13" spans="1:175" ht="30" customHeight="1">
      <c r="A13" s="47" t="s">
        <v>382</v>
      </c>
      <c r="B13" s="47"/>
      <c r="C13" s="49">
        <f>'Section B Transfer Beam Check'!G16</f>
        <v>40</v>
      </c>
      <c r="D13" s="47" t="s">
        <v>346</v>
      </c>
      <c r="E13" s="48" t="s">
        <v>383</v>
      </c>
      <c r="F13" s="47"/>
      <c r="G13" s="47"/>
      <c r="H13" s="47"/>
      <c r="I13" s="47"/>
      <c r="J13" s="47"/>
      <c r="K13" s="47"/>
      <c r="L13" s="47"/>
      <c r="M13" s="47"/>
      <c r="N13" s="47"/>
      <c r="O13" s="47"/>
      <c r="P13" s="47"/>
      <c r="Q13" s="47"/>
      <c r="R13" s="47"/>
      <c r="S13" s="47"/>
      <c r="T13" s="47"/>
      <c r="U13" s="47"/>
      <c r="V13" s="47"/>
      <c r="W13" s="47"/>
      <c r="X13" s="47"/>
      <c r="BB13" t="str">
        <f>'Section A Transfer Beam'!$A$13&amp;"|"&amp;'Section A Transfer Beam'!$B$13&amp;"|"&amp;'Section A Transfer Beam'!$C$13&amp;"|"&amp;'Section A Transfer Beam'!$E$13&amp;"|"&amp;'Section A Transfer Beam'!$F$13&amp;"|"&amp;'Section A Transfer Beam'!$H$13&amp;"|"&amp;'Section A Transfer Beam'!$I$13&amp;"|"&amp;'Section A Transfer Beam'!$K$13&amp;"|"&amp;'Section A Transfer Beam'!$L$13&amp;"|"&amp;'Section A Transfer Beam'!$N$13&amp;"|"&amp;'Section A Transfer Beam'!$O$13&amp;"|"&amp;'Section A Transfer Beam'!$Q$13&amp;"|"&amp;'Section A Transfer Beam'!$R$13&amp;"|"&amp;'Section A Transfer Beam'!$S$13&amp;"|"&amp;'Section A Transfer Beam'!$T$13&amp;"|"&amp;'Section A Transfer Beam'!$U$13&amp;"|"&amp;'Section A Transfer Beam'!$V$13&amp;"|"&amp;'Section A Transfer Beam'!$W$13&amp;"|"&amp;'Section A Transfer Beam'!$X$13&amp;"|"&amp;'Section A Transfer Beam'!$Y$13&amp;"|"&amp;'Section A Transfer Beam'!$Z$13&amp;"|"&amp;'Section A Transfer Beam'!$D$13&amp;"|"&amp;'Section A Transfer Beam'!$G$13&amp;"|"&amp;'Section A Transfer Beam'!$J$13&amp;"|"&amp;'Section A Transfer Beam'!$M$13&amp;"|"&amp;'Section A Transfer Beam'!$P$13&amp;"|cover|"&amp;'Section B Concrete Cover'!$B$3&amp;"|"&amp;'Section B Concrete Cover'!$E$9&amp;"|"&amp;'Section B Concrete Cover'!$E$10</f>
        <v>|||||||||||||0|1|End span||23|||60||||||cover|2|50|40</v>
      </c>
      <c r="BD13" s="85" t="s">
        <v>1092</v>
      </c>
    </row>
    <row r="14" spans="1:175" ht="48" customHeight="1">
      <c r="A14" s="47" t="s">
        <v>365</v>
      </c>
      <c r="B14" s="47"/>
      <c r="C14" s="49">
        <f>'Section B Transfer Beam Check'!G58</f>
        <v>10</v>
      </c>
      <c r="D14" s="47" t="s">
        <v>346</v>
      </c>
      <c r="E14" s="48" t="s">
        <v>536</v>
      </c>
      <c r="F14" s="47"/>
      <c r="G14" s="47"/>
      <c r="H14" s="47"/>
      <c r="I14" s="47"/>
      <c r="J14" s="47"/>
      <c r="K14" s="47"/>
      <c r="L14" s="47"/>
      <c r="M14" s="47"/>
      <c r="N14" s="47"/>
      <c r="O14" s="47"/>
      <c r="P14" s="47"/>
      <c r="Q14" s="47"/>
      <c r="R14" s="47"/>
      <c r="S14" s="47"/>
      <c r="T14" s="47"/>
      <c r="U14" s="47"/>
      <c r="V14" s="47"/>
      <c r="W14" s="47"/>
      <c r="X14" s="47"/>
      <c r="BB14" t="str">
        <f>'Section A Transfer Beam'!$A$14&amp;"|"&amp;'Section A Transfer Beam'!$B$14&amp;"|"&amp;'Section A Transfer Beam'!$C$14&amp;"|"&amp;'Section A Transfer Beam'!$E$14&amp;"|"&amp;'Section A Transfer Beam'!$F$14&amp;"|"&amp;'Section A Transfer Beam'!$H$14&amp;"|"&amp;'Section A Transfer Beam'!$I$14&amp;"|"&amp;'Section A Transfer Beam'!$K$14&amp;"|"&amp;'Section A Transfer Beam'!$L$14&amp;"|"&amp;'Section A Transfer Beam'!$N$14&amp;"|"&amp;'Section A Transfer Beam'!$O$14&amp;"|"&amp;'Section A Transfer Beam'!$Q$14&amp;"|"&amp;'Section A Transfer Beam'!$R$14&amp;"|"&amp;'Section A Transfer Beam'!$S$14&amp;"|"&amp;'Section A Transfer Beam'!$T$14&amp;"|"&amp;'Section A Transfer Beam'!$U$14&amp;"|"&amp;'Section A Transfer Beam'!$V$14&amp;"|"&amp;'Section A Transfer Beam'!$W$14&amp;"|"&amp;'Section A Transfer Beam'!$X$14&amp;"|"&amp;'Section A Transfer Beam'!$Y$14&amp;"|"&amp;'Section A Transfer Beam'!$Z$14&amp;"|"&amp;'Section A Transfer Beam'!$D$14&amp;"|"&amp;'Section A Transfer Beam'!$G$14&amp;"|"&amp;'Section A Transfer Beam'!$J$14&amp;"|"&amp;'Section A Transfer Beam'!$M$14&amp;"|"&amp;'Section A Transfer Beam'!$P$14&amp;"|cover|"&amp;'Section B Concrete Cover'!$B$3&amp;"|"&amp;'Section B Concrete Cover'!$E$9&amp;"|"&amp;'Section B Concrete Cover'!$E$10</f>
        <v>|||||||||||||0|1|End span||23|||60||||||cover|2|50|40</v>
      </c>
      <c r="BD14" s="85" t="s">
        <v>1092</v>
      </c>
    </row>
    <row r="15" spans="1:175" ht="48" customHeight="1">
      <c r="A15" s="47" t="s">
        <v>384</v>
      </c>
      <c r="B15" s="47"/>
      <c r="C15" s="322">
        <f>'Section B Transfer Beam Check'!D44</f>
        <v>16</v>
      </c>
      <c r="D15" s="47" t="s">
        <v>346</v>
      </c>
      <c r="E15" s="48" t="s">
        <v>537</v>
      </c>
      <c r="F15" s="47"/>
      <c r="G15" s="47"/>
      <c r="H15" s="47"/>
      <c r="I15" s="47"/>
      <c r="J15" s="47"/>
      <c r="K15" s="47"/>
      <c r="L15" s="47"/>
      <c r="M15" s="47"/>
      <c r="N15" s="47"/>
      <c r="O15" s="47"/>
      <c r="P15" s="47"/>
      <c r="Q15" s="47"/>
      <c r="R15" s="47"/>
      <c r="S15" s="47"/>
      <c r="T15" s="47"/>
      <c r="U15" s="47"/>
      <c r="V15" s="47"/>
      <c r="W15" s="47"/>
      <c r="X15" s="47"/>
      <c r="BB15" t="str">
        <f>'Section A Transfer Beam'!$A$15&amp;"|"&amp;'Section A Transfer Beam'!$B$15&amp;"|"&amp;'Section A Transfer Beam'!$C$15&amp;"|"&amp;'Section A Transfer Beam'!$E$15&amp;"|"&amp;'Section A Transfer Beam'!$F$15&amp;"|"&amp;'Section A Transfer Beam'!$H$15&amp;"|"&amp;'Section A Transfer Beam'!$I$15&amp;"|"&amp;'Section A Transfer Beam'!$K$15&amp;"|"&amp;'Section A Transfer Beam'!$L$15&amp;"|"&amp;'Section A Transfer Beam'!$N$15&amp;"|"&amp;'Section A Transfer Beam'!$O$15&amp;"|"&amp;'Section A Transfer Beam'!$Q$15&amp;"|"&amp;'Section A Transfer Beam'!$R$15&amp;"|"&amp;'Section A Transfer Beam'!$S$15&amp;"|"&amp;'Section A Transfer Beam'!$T$15&amp;"|"&amp;'Section A Transfer Beam'!$U$15&amp;"|"&amp;'Section A Transfer Beam'!$V$15&amp;"|"&amp;'Section A Transfer Beam'!$W$15&amp;"|"&amp;'Section A Transfer Beam'!$X$15&amp;"|"&amp;'Section A Transfer Beam'!$Y$15&amp;"|"&amp;'Section A Transfer Beam'!$Z$15&amp;"|"&amp;'Section A Transfer Beam'!$D$15&amp;"|"&amp;'Section A Transfer Beam'!$G$15&amp;"|"&amp;'Section A Transfer Beam'!$J$15&amp;"|"&amp;'Section A Transfer Beam'!$M$15&amp;"|"&amp;'Section A Transfer Beam'!$P$15&amp;"|cover|"&amp;'Section B Concrete Cover'!$B$3&amp;"|"&amp;'Section B Concrete Cover'!$E$9&amp;"|"&amp;'Section B Concrete Cover'!$E$10</f>
        <v>|||||||||||||0|1|End span||23|||60||||||cover|2|50|40</v>
      </c>
      <c r="BD15" s="85" t="s">
        <v>1092</v>
      </c>
    </row>
    <row r="16" spans="1:175" ht="30" customHeight="1">
      <c r="A16" s="47" t="s">
        <v>552</v>
      </c>
      <c r="B16" s="47"/>
      <c r="C16" s="322">
        <f>MAX(C15,25)</f>
        <v>25</v>
      </c>
      <c r="D16" s="47" t="s">
        <v>346</v>
      </c>
      <c r="E16" s="48" t="s">
        <v>553</v>
      </c>
      <c r="F16" s="47"/>
      <c r="G16" s="47"/>
      <c r="H16" s="47"/>
      <c r="I16" s="47"/>
      <c r="J16" s="47"/>
      <c r="K16" s="47"/>
      <c r="L16" s="47"/>
      <c r="M16" s="47"/>
      <c r="N16" s="47"/>
      <c r="O16" s="47"/>
      <c r="P16" s="47"/>
      <c r="Q16" s="47"/>
      <c r="R16" s="47"/>
      <c r="S16" s="47"/>
      <c r="T16" s="47"/>
      <c r="U16" s="47"/>
      <c r="V16" s="47"/>
      <c r="W16" s="47"/>
      <c r="X16" s="47"/>
      <c r="BB16" t="str">
        <f>'Section A Transfer Beam'!$A$16&amp;"|"&amp;'Section A Transfer Beam'!$B$16&amp;"|"&amp;'Section A Transfer Beam'!$C$16&amp;"|"&amp;'Section A Transfer Beam'!$E$16&amp;"|"&amp;'Section A Transfer Beam'!$F$16&amp;"|"&amp;'Section A Transfer Beam'!$H$16&amp;"|"&amp;'Section A Transfer Beam'!$I$16&amp;"|"&amp;'Section A Transfer Beam'!$K$16&amp;"|"&amp;'Section A Transfer Beam'!$L$16&amp;"|"&amp;'Section A Transfer Beam'!$N$16&amp;"|"&amp;'Section A Transfer Beam'!$O$16&amp;"|"&amp;'Section A Transfer Beam'!$Q$16&amp;"|"&amp;'Section A Transfer Beam'!$R$16&amp;"|"&amp;'Section A Transfer Beam'!$S$16&amp;"|"&amp;'Section A Transfer Beam'!$T$16&amp;"|"&amp;'Section A Transfer Beam'!$U$16&amp;"|"&amp;'Section A Transfer Beam'!$V$16&amp;"|"&amp;'Section A Transfer Beam'!$W$16&amp;"|"&amp;'Section A Transfer Beam'!$X$16&amp;"|"&amp;'Section A Transfer Beam'!$Y$16&amp;"|"&amp;'Section A Transfer Beam'!$Z$16&amp;"|"&amp;'Section A Transfer Beam'!$D$16&amp;"|"&amp;'Section A Transfer Beam'!$G$16&amp;"|"&amp;'Section A Transfer Beam'!$J$16&amp;"|"&amp;'Section A Transfer Beam'!$M$16&amp;"|"&amp;'Section A Transfer Beam'!$P$16&amp;"|cover|"&amp;'Section B Concrete Cover'!$B$3&amp;"|"&amp;'Section B Concrete Cover'!$E$9&amp;"|"&amp;'Section B Concrete Cover'!$E$10</f>
        <v>|||||||||||||0|1|End span||23|||60||||||cover|2|50|40</v>
      </c>
      <c r="BD16" s="85" t="s">
        <v>1092</v>
      </c>
    </row>
    <row r="17" spans="1:56" ht="30" customHeight="1">
      <c r="A17" s="47" t="s">
        <v>385</v>
      </c>
      <c r="B17" s="47"/>
      <c r="C17" s="322">
        <f>IF(ISNUMBER(C8),INT(C8/100),"")</f>
        <v>10</v>
      </c>
      <c r="D17" s="47" t="s">
        <v>357</v>
      </c>
      <c r="E17" s="48" t="s">
        <v>386</v>
      </c>
      <c r="F17" s="47"/>
      <c r="G17" s="47"/>
      <c r="H17" s="47"/>
      <c r="I17" s="47"/>
      <c r="J17" s="47"/>
      <c r="K17" s="47"/>
      <c r="L17" s="47"/>
      <c r="M17" s="47"/>
      <c r="N17" s="47"/>
      <c r="O17" s="47"/>
      <c r="P17" s="47"/>
      <c r="Q17" s="47"/>
      <c r="R17" s="47"/>
      <c r="S17" s="47"/>
      <c r="T17" s="47"/>
      <c r="U17" s="47"/>
      <c r="V17" s="47"/>
      <c r="W17" s="47"/>
      <c r="X17" s="47"/>
      <c r="BB17" t="str">
        <f>'Section A Transfer Beam'!$A$17&amp;"|"&amp;'Section A Transfer Beam'!$B$17&amp;"|"&amp;'Section A Transfer Beam'!$C$17&amp;"|"&amp;'Section A Transfer Beam'!$E$17&amp;"|"&amp;'Section A Transfer Beam'!$F$17&amp;"|"&amp;'Section A Transfer Beam'!$H$17&amp;"|"&amp;'Section A Transfer Beam'!$I$17&amp;"|"&amp;'Section A Transfer Beam'!$K$17&amp;"|"&amp;'Section A Transfer Beam'!$L$17&amp;"|"&amp;'Section A Transfer Beam'!$N$17&amp;"|"&amp;'Section A Transfer Beam'!$O$17&amp;"|"&amp;'Section A Transfer Beam'!$Q$17&amp;"|"&amp;'Section A Transfer Beam'!$R$17&amp;"|"&amp;'Section A Transfer Beam'!$S$17&amp;"|"&amp;'Section A Transfer Beam'!$T$17&amp;"|"&amp;'Section A Transfer Beam'!$U$17&amp;"|"&amp;'Section A Transfer Beam'!$V$17&amp;"|"&amp;'Section A Transfer Beam'!$W$17&amp;"|"&amp;'Section A Transfer Beam'!$X$17&amp;"|"&amp;'Section A Transfer Beam'!$Y$17&amp;"|"&amp;'Section A Transfer Beam'!$Z$17&amp;"|"&amp;'Section A Transfer Beam'!$D$17&amp;"|"&amp;'Section A Transfer Beam'!$G$17&amp;"|"&amp;'Section A Transfer Beam'!$J$17&amp;"|"&amp;'Section A Transfer Beam'!$M$17&amp;"|"&amp;'Section A Transfer Beam'!$P$17&amp;"|cover|"&amp;'Section B Concrete Cover'!$B$3&amp;"|"&amp;'Section B Concrete Cover'!$E$9&amp;"|"&amp;'Section B Concrete Cover'!$E$10</f>
        <v>|||||||||||||0|1|End span||23|||60||||||cover|2|50|40</v>
      </c>
      <c r="BD17" s="85" t="s">
        <v>1092</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'Section A Transfer Beam'!$A$18&amp;"|"&amp;'Section A Transfer Beam'!$B$18&amp;"|"&amp;'Section A Transfer Beam'!$C$18&amp;"|"&amp;'Section A Transfer Beam'!$E$18&amp;"|"&amp;'Section A Transfer Beam'!$F$18&amp;"|"&amp;'Section A Transfer Beam'!$H$18&amp;"|"&amp;'Section A Transfer Beam'!$I$18&amp;"|"&amp;'Section A Transfer Beam'!$K$18&amp;"|"&amp;'Section A Transfer Beam'!$L$18&amp;"|"&amp;'Section A Transfer Beam'!$N$18&amp;"|"&amp;'Section A Transfer Beam'!$O$18&amp;"|"&amp;'Section A Transfer Beam'!$Q$18&amp;"|"&amp;'Section A Transfer Beam'!$R$18&amp;"|"&amp;'Section A Transfer Beam'!$S$18&amp;"|"&amp;'Section A Transfer Beam'!$T$18&amp;"|"&amp;'Section A Transfer Beam'!$U$18&amp;"|"&amp;'Section A Transfer Beam'!$V$18&amp;"|"&amp;'Section A Transfer Beam'!$W$18&amp;"|"&amp;'Section A Transfer Beam'!$X$18&amp;"|"&amp;'Section A Transfer Beam'!$Y$18&amp;"|"&amp;'Section A Transfer Beam'!$Z$18&amp;"|"&amp;'Section A Transfer Beam'!$D$18&amp;"|"&amp;'Section A Transfer Beam'!$G$18&amp;"|"&amp;'Section A Transfer Beam'!$J$18&amp;"|"&amp;'Section A Transfer Beam'!$M$18&amp;"|"&amp;'Section A Transfer Beam'!$P$18&amp;"|cover|"&amp;'Section B Concrete Cover'!$B$3&amp;"|"&amp;'Section B Concrete Cover'!$E$9&amp;"|"&amp;'Section B Concrete Cover'!$E$10</f>
        <v>|||||||||||||0|1|End span||23|||60||||||cover|2|50|40</v>
      </c>
      <c r="BD18" s="85" t="s">
        <v>1092</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'Section A Transfer Beam'!$A$19&amp;"|"&amp;'Section A Transfer Beam'!$B$19&amp;"|"&amp;'Section A Transfer Beam'!$C$19&amp;"|"&amp;'Section A Transfer Beam'!$E$19&amp;"|"&amp;'Section A Transfer Beam'!$F$19&amp;"|"&amp;'Section A Transfer Beam'!$H$19&amp;"|"&amp;'Section A Transfer Beam'!$I$19&amp;"|"&amp;'Section A Transfer Beam'!$K$19&amp;"|"&amp;'Section A Transfer Beam'!$L$19&amp;"|"&amp;'Section A Transfer Beam'!$N$19&amp;"|"&amp;'Section A Transfer Beam'!$O$19&amp;"|"&amp;'Section A Transfer Beam'!$Q$19&amp;"|"&amp;'Section A Transfer Beam'!$R$19&amp;"|"&amp;'Section A Transfer Beam'!$S$19&amp;"|"&amp;'Section A Transfer Beam'!$T$19&amp;"|"&amp;'Section A Transfer Beam'!$U$19&amp;"|"&amp;'Section A Transfer Beam'!$V$19&amp;"|"&amp;'Section A Transfer Beam'!$W$19&amp;"|"&amp;'Section A Transfer Beam'!$X$19&amp;"|"&amp;'Section A Transfer Beam'!$Y$19&amp;"|"&amp;'Section A Transfer Beam'!$Z$19&amp;"|"&amp;'Section A Transfer Beam'!$D$19&amp;"|"&amp;'Section A Transfer Beam'!$G$19&amp;"|"&amp;'Section A Transfer Beam'!$J$19&amp;"|"&amp;'Section A Transfer Beam'!$M$19&amp;"|"&amp;'Section A Transfer Beam'!$P$19&amp;"|cover|"&amp;'Section B Concrete Cover'!$B$3&amp;"|"&amp;'Section B Concrete Cover'!$E$9&amp;"|"&amp;'Section B Concrete Cover'!$E$10</f>
        <v>|||||||||||||0|1|End span||23|||60||||||cover|2|50|40</v>
      </c>
      <c r="BD19" s="85" t="s">
        <v>1092</v>
      </c>
    </row>
    <row r="20" spans="1:56" ht="48" customHeight="1">
      <c r="A20" s="47" t="s">
        <v>387</v>
      </c>
      <c r="B20" s="47"/>
      <c r="C20" s="49" t="str">
        <f>'Section B Transfer Beam Check'!G53</f>
        <v/>
      </c>
      <c r="D20" s="47" t="s">
        <v>349</v>
      </c>
      <c r="E20" s="48" t="s">
        <v>487</v>
      </c>
      <c r="F20" s="47"/>
      <c r="G20" s="47"/>
      <c r="H20" s="47"/>
      <c r="I20" s="47"/>
      <c r="J20" s="47"/>
      <c r="K20" s="47"/>
      <c r="L20" s="47"/>
      <c r="M20" s="47"/>
      <c r="N20" s="47"/>
      <c r="O20" s="47"/>
      <c r="P20" s="47"/>
      <c r="Q20" s="47"/>
      <c r="R20" s="47"/>
      <c r="S20" s="47"/>
      <c r="T20" s="47"/>
      <c r="U20" s="47"/>
      <c r="V20" s="47"/>
      <c r="W20" s="47"/>
      <c r="X20" s="47"/>
      <c r="BB20" t="str">
        <f>'Section A Transfer Beam'!$A$20&amp;"|"&amp;'Section A Transfer Beam'!$B$20&amp;"|"&amp;'Section A Transfer Beam'!$C$20&amp;"|"&amp;'Section A Transfer Beam'!$E$20&amp;"|"&amp;'Section A Transfer Beam'!$F$20&amp;"|"&amp;'Section A Transfer Beam'!$H$20&amp;"|"&amp;'Section A Transfer Beam'!$I$20&amp;"|"&amp;'Section A Transfer Beam'!$K$20&amp;"|"&amp;'Section A Transfer Beam'!$L$20&amp;"|"&amp;'Section A Transfer Beam'!$N$20&amp;"|"&amp;'Section A Transfer Beam'!$O$20&amp;"|"&amp;'Section A Transfer Beam'!$Q$20&amp;"|"&amp;'Section A Transfer Beam'!$R$20&amp;"|"&amp;'Section A Transfer Beam'!$S$20&amp;"|"&amp;'Section A Transfer Beam'!$T$20&amp;"|"&amp;'Section A Transfer Beam'!$U$20&amp;"|"&amp;'Section A Transfer Beam'!$V$20&amp;"|"&amp;'Section A Transfer Beam'!$W$20&amp;"|"&amp;'Section A Transfer Beam'!$X$20&amp;"|"&amp;'Section A Transfer Beam'!$Y$20&amp;"|"&amp;'Section A Transfer Beam'!$Z$20&amp;"|"&amp;'Section A Transfer Beam'!$D$20&amp;"|"&amp;'Section A Transfer Beam'!$G$20&amp;"|"&amp;'Section A Transfer Beam'!$J$20&amp;"|"&amp;'Section A Transfer Beam'!$M$20&amp;"|"&amp;'Section A Transfer Beam'!$P$20&amp;"|cover|"&amp;'Section B Concrete Cover'!$B$3&amp;"|"&amp;'Section B Concrete Cover'!$E$9&amp;"|"&amp;'Section B Concrete Cover'!$E$10</f>
        <v>|||||||||||||0|1|End span||23|||60||||||cover|2|50|40</v>
      </c>
      <c r="BD20" s="85" t="s">
        <v>1092</v>
      </c>
    </row>
    <row r="21" spans="1:56" ht="48" customHeight="1">
      <c r="A21" s="47" t="s">
        <v>388</v>
      </c>
      <c r="B21" s="47"/>
      <c r="C21" s="49">
        <f>'Section B Transfer Beam Check'!H58</f>
        <v>200</v>
      </c>
      <c r="D21" s="47" t="s">
        <v>346</v>
      </c>
      <c r="E21" s="48" t="s">
        <v>538</v>
      </c>
      <c r="F21" s="47"/>
      <c r="G21" s="47"/>
      <c r="H21" s="47"/>
      <c r="I21" s="47"/>
      <c r="J21" s="47"/>
      <c r="K21" s="47"/>
      <c r="L21" s="47"/>
      <c r="M21" s="47"/>
      <c r="N21" s="47"/>
      <c r="O21" s="47"/>
      <c r="P21" s="47"/>
      <c r="Q21" s="47"/>
      <c r="R21" s="47"/>
      <c r="S21" s="47"/>
      <c r="T21" s="47"/>
      <c r="U21" s="47"/>
      <c r="V21" s="47"/>
      <c r="W21" s="47"/>
      <c r="X21" s="47"/>
      <c r="BB21" t="str">
        <f>'Section A Transfer Beam'!$A$21&amp;"|"&amp;'Section A Transfer Beam'!$B$21&amp;"|"&amp;'Section A Transfer Beam'!$C$21&amp;"|"&amp;'Section A Transfer Beam'!$E$21&amp;"|"&amp;'Section A Transfer Beam'!$F$21&amp;"|"&amp;'Section A Transfer Beam'!$H$21&amp;"|"&amp;'Section A Transfer Beam'!$I$21&amp;"|"&amp;'Section A Transfer Beam'!$K$21&amp;"|"&amp;'Section A Transfer Beam'!$L$21&amp;"|"&amp;'Section A Transfer Beam'!$N$21&amp;"|"&amp;'Section A Transfer Beam'!$O$21&amp;"|"&amp;'Section A Transfer Beam'!$Q$21&amp;"|"&amp;'Section A Transfer Beam'!$R$21&amp;"|"&amp;'Section A Transfer Beam'!$S$21&amp;"|"&amp;'Section A Transfer Beam'!$T$21&amp;"|"&amp;'Section A Transfer Beam'!$U$21&amp;"|"&amp;'Section A Transfer Beam'!$V$21&amp;"|"&amp;'Section A Transfer Beam'!$W$21&amp;"|"&amp;'Section A Transfer Beam'!$X$21&amp;"|"&amp;'Section A Transfer Beam'!$Y$21&amp;"|"&amp;'Section A Transfer Beam'!$Z$21&amp;"|"&amp;'Section A Transfer Beam'!$D$21&amp;"|"&amp;'Section A Transfer Beam'!$G$21&amp;"|"&amp;'Section A Transfer Beam'!$J$21&amp;"|"&amp;'Section A Transfer Beam'!$M$21&amp;"|"&amp;'Section A Transfer Beam'!$P$21&amp;"|cover|"&amp;'Section B Concrete Cover'!$B$3&amp;"|"&amp;'Section B Concrete Cover'!$E$9&amp;"|"&amp;'Section B Concrete Cover'!$E$10</f>
        <v>|||||||||||||0|1|End span||23|||60||||||cover|2|50|40</v>
      </c>
      <c r="BD21" s="85" t="s">
        <v>1092</v>
      </c>
    </row>
    <row r="22" spans="1:56" ht="42" customHeight="1">
      <c r="A22" s="47" t="s">
        <v>366</v>
      </c>
      <c r="B22" s="47"/>
      <c r="C22" s="322">
        <f>'Section B Transfer Beam Check'!E58</f>
        <v>2</v>
      </c>
      <c r="D22" s="47" t="s">
        <v>357</v>
      </c>
      <c r="E22" s="48" t="s">
        <v>485</v>
      </c>
      <c r="F22" s="47"/>
      <c r="G22" s="47"/>
      <c r="H22" s="47"/>
      <c r="I22" s="47"/>
      <c r="J22" s="47"/>
      <c r="K22" s="47"/>
      <c r="L22" s="47"/>
      <c r="M22" s="47"/>
      <c r="N22" s="47"/>
      <c r="O22" s="47"/>
      <c r="P22" s="47"/>
      <c r="Q22" s="47"/>
      <c r="R22" s="47"/>
      <c r="S22" s="47"/>
      <c r="T22" s="47"/>
      <c r="U22" s="47"/>
      <c r="V22" s="47"/>
      <c r="W22" s="47"/>
      <c r="X22" s="47"/>
      <c r="BB22" t="str">
        <f>'Section A Transfer Beam'!$A$22&amp;"|"&amp;'Section A Transfer Beam'!$B$22&amp;"|"&amp;'Section A Transfer Beam'!$C$22&amp;"|"&amp;'Section A Transfer Beam'!$E$22&amp;"|"&amp;'Section A Transfer Beam'!$F$22&amp;"|"&amp;'Section A Transfer Beam'!$H$22&amp;"|"&amp;'Section A Transfer Beam'!$I$22&amp;"|"&amp;'Section A Transfer Beam'!$K$22&amp;"|"&amp;'Section A Transfer Beam'!$L$22&amp;"|"&amp;'Section A Transfer Beam'!$N$22&amp;"|"&amp;'Section A Transfer Beam'!$O$22&amp;"|"&amp;'Section A Transfer Beam'!$Q$22&amp;"|"&amp;'Section A Transfer Beam'!$R$22&amp;"|"&amp;'Section A Transfer Beam'!$S$22&amp;"|"&amp;'Section A Transfer Beam'!$T$22&amp;"|"&amp;'Section A Transfer Beam'!$U$22&amp;"|"&amp;'Section A Transfer Beam'!$V$22&amp;"|"&amp;'Section A Transfer Beam'!$W$22&amp;"|"&amp;'Section A Transfer Beam'!$X$22&amp;"|"&amp;'Section A Transfer Beam'!$Y$22&amp;"|"&amp;'Section A Transfer Beam'!$Z$22&amp;"|"&amp;'Section A Transfer Beam'!$D$22&amp;"|"&amp;'Section A Transfer Beam'!$G$22&amp;"|"&amp;'Section A Transfer Beam'!$J$22&amp;"|"&amp;'Section A Transfer Beam'!$M$22&amp;"|"&amp;'Section A Transfer Beam'!$P$22&amp;"|cover|"&amp;'Section B Concrete Cover'!$B$3&amp;"|"&amp;'Section B Concrete Cover'!$E$9&amp;"|"&amp;'Section B Concrete Cover'!$E$10</f>
        <v>|||||||||||||0|1|End span||23|||60||||||cover|2|50|40</v>
      </c>
      <c r="BD22" s="85" t="s">
        <v>1092</v>
      </c>
    </row>
    <row r="23" spans="1:56" ht="42" customHeight="1">
      <c r="A23" s="47" t="s">
        <v>372</v>
      </c>
      <c r="B23" s="47"/>
      <c r="C23" s="323" t="str">
        <f>'Section B Transfer Beam Check'!G83</f>
        <v/>
      </c>
      <c r="D23" s="47"/>
      <c r="E23" s="48" t="s">
        <v>468</v>
      </c>
      <c r="F23" s="47"/>
      <c r="G23" s="47"/>
      <c r="H23" s="47"/>
      <c r="I23" s="47"/>
      <c r="J23" s="47"/>
      <c r="K23" s="47"/>
      <c r="L23" s="47"/>
      <c r="M23" s="47"/>
      <c r="N23" s="47"/>
      <c r="O23" s="47"/>
      <c r="P23" s="47"/>
      <c r="Q23" s="47"/>
      <c r="R23" s="47"/>
      <c r="S23" s="47"/>
      <c r="T23" s="47"/>
      <c r="U23" s="47"/>
      <c r="V23" s="47"/>
      <c r="W23" s="47"/>
      <c r="X23" s="47"/>
      <c r="BB23" t="str">
        <f>'Section A Transfer Beam'!$A$23&amp;"|"&amp;'Section A Transfer Beam'!$B$23&amp;"|"&amp;'Section A Transfer Beam'!$C$23&amp;"|"&amp;'Section A Transfer Beam'!$E$23&amp;"|"&amp;'Section A Transfer Beam'!$F$23&amp;"|"&amp;'Section A Transfer Beam'!$H$23&amp;"|"&amp;'Section A Transfer Beam'!$I$23&amp;"|"&amp;'Section A Transfer Beam'!$K$23&amp;"|"&amp;'Section A Transfer Beam'!$L$23&amp;"|"&amp;'Section A Transfer Beam'!$N$23&amp;"|"&amp;'Section A Transfer Beam'!$O$23&amp;"|"&amp;'Section A Transfer Beam'!$Q$23&amp;"|"&amp;'Section A Transfer Beam'!$R$23&amp;"|"&amp;'Section A Transfer Beam'!$S$23&amp;"|"&amp;'Section A Transfer Beam'!$T$23&amp;"|"&amp;'Section A Transfer Beam'!$U$23&amp;"|"&amp;'Section A Transfer Beam'!$V$23&amp;"|"&amp;'Section A Transfer Beam'!$W$23&amp;"|"&amp;'Section A Transfer Beam'!$X$23&amp;"|"&amp;'Section A Transfer Beam'!$Y$23&amp;"|"&amp;'Section A Transfer Beam'!$Z$23&amp;"|"&amp;'Section A Transfer Beam'!$D$23&amp;"|"&amp;'Section A Transfer Beam'!$G$23&amp;"|"&amp;'Section A Transfer Beam'!$J$23&amp;"|"&amp;'Section A Transfer Beam'!$M$23&amp;"|"&amp;'Section A Transfer Beam'!$P$23&amp;"|cover|"&amp;'Section B Concrete Cover'!$B$3&amp;"|"&amp;'Section B Concrete Cover'!$E$9&amp;"|"&amp;'Section B Concrete Cover'!$E$10</f>
        <v>|||||||||||||0|1|End span||23|||60||||||cover|2|50|40</v>
      </c>
      <c r="BD23" s="85" t="s">
        <v>1092</v>
      </c>
    </row>
    <row r="24" spans="1:56" ht="42" customHeight="1">
      <c r="A24" s="47" t="s">
        <v>373</v>
      </c>
      <c r="B24" s="47"/>
      <c r="C24" s="323" t="str">
        <f>'Section B Transfer Beam Check'!G84</f>
        <v/>
      </c>
      <c r="D24" s="47"/>
      <c r="E24" s="59" t="s">
        <v>469</v>
      </c>
      <c r="F24" s="47"/>
      <c r="G24" s="47" t="s">
        <v>389</v>
      </c>
      <c r="H24" s="47"/>
      <c r="I24" s="612" t="str">
        <f>"Simply supported: "&amp;IF(C6="","select a populated source row",C6)</f>
        <v>Simply supported: select a populated source row</v>
      </c>
      <c r="J24" s="612"/>
      <c r="K24" s="612"/>
      <c r="L24" s="612"/>
      <c r="M24" s="612"/>
      <c r="N24" s="612"/>
      <c r="O24" s="47"/>
      <c r="P24" s="47"/>
      <c r="Q24" s="47"/>
      <c r="R24" s="47"/>
      <c r="S24" s="47"/>
      <c r="T24" s="47"/>
      <c r="U24" s="47"/>
      <c r="V24" s="47"/>
      <c r="W24" s="47"/>
      <c r="X24" s="47"/>
      <c r="BB24" t="str">
        <f>'Section A Transfer Beam'!$A$24&amp;"|"&amp;'Section A Transfer Beam'!$B$24&amp;"|"&amp;'Section A Transfer Beam'!$C$24&amp;"|"&amp;'Section A Transfer Beam'!$E$24&amp;"|"&amp;'Section A Transfer Beam'!$F$24&amp;"|"&amp;'Section A Transfer Beam'!$H$24&amp;"|"&amp;'Section A Transfer Beam'!$I$24&amp;"|"&amp;'Section A Transfer Beam'!$K$24&amp;"|"&amp;'Section A Transfer Beam'!$L$24&amp;"|"&amp;'Section A Transfer Beam'!$N$24&amp;"|"&amp;'Section A Transfer Beam'!$O$24&amp;"|"&amp;'Section A Transfer Beam'!$Q$24&amp;"|"&amp;'Section A Transfer Beam'!$R$24&amp;"|"&amp;'Section A Transfer Beam'!$S$24&amp;"|"&amp;'Section A Transfer Beam'!$T$24&amp;"|"&amp;'Section A Transfer Beam'!$U$24&amp;"|"&amp;'Section A Transfer Beam'!$V$24&amp;"|"&amp;'Section A Transfer Beam'!$W$24&amp;"|"&amp;'Section A Transfer Beam'!$X$24&amp;"|"&amp;'Section A Transfer Beam'!$Y$24&amp;"|"&amp;'Section A Transfer Beam'!$Z$24&amp;"|"&amp;'Section A Transfer Beam'!$D$24&amp;"|"&amp;'Section A Transfer Beam'!$G$24&amp;"|"&amp;'Section A Transfer Beam'!$J$24&amp;"|"&amp;'Section A Transfer Beam'!$M$24&amp;"|"&amp;'Section A Transfer Beam'!$P$24&amp;"|cover|"&amp;'Section B Concrete Cover'!$B$3&amp;"|"&amp;'Section B Concrete Cover'!$E$9&amp;"|"&amp;'Section B Concrete Cover'!$E$10</f>
        <v>|||||||||||||0|1|End span||23|||60||||||cover|2|50|40</v>
      </c>
      <c r="BD24" s="85" t="s">
        <v>1092</v>
      </c>
    </row>
    <row r="25" spans="1:56" ht="42" customHeight="1">
      <c r="A25" s="47"/>
      <c r="B25" s="47"/>
      <c r="C25" s="52"/>
      <c r="D25" s="47"/>
      <c r="E25" s="48"/>
      <c r="F25" s="47"/>
      <c r="G25" s="47" t="s">
        <v>390</v>
      </c>
      <c r="H25" s="47"/>
      <c r="I25" s="612" t="str">
        <f>IF(COUNTIF(RCLoadResults73[Member],C6),IF(OR(C6="",COUNT(C7:C10)&lt;&gt;4,MIN(C7:C10)&lt;=0),"INVALID INPUT",INDEX(RCLoadResults73[Status],MATCH(C6,RCLoadResults73[Member],0))),IF(OR(C6="",NOT(ISNUMBER(C7)),NOT(ISNUMBER(C8)),NOT(ISNUMBER(C9)),NOT(ISNUMBER(C10)),NOT(ISNUMBER(C26))),"INPUT REQUIRED",IF(OR(C7&lt;=0,C8&lt;=0,C9&lt;=0,C10&lt;=0,C26&lt;0),"INVALID INPUT",IF(COUNTIF(U28:U32,"OK")&lt;&gt;5,"CHECK POINT LOADS","OK"))))</f>
        <v>INVALID INPUT</v>
      </c>
      <c r="J25" s="612"/>
      <c r="K25" s="612"/>
      <c r="L25" s="612"/>
      <c r="M25" s="612"/>
      <c r="N25" s="612"/>
      <c r="O25" s="47"/>
      <c r="P25" s="47"/>
      <c r="Q25" s="47"/>
      <c r="R25" s="47"/>
      <c r="S25" s="47"/>
      <c r="T25" s="47"/>
      <c r="U25" s="47"/>
      <c r="V25" s="47"/>
      <c r="W25" s="47"/>
      <c r="X25" s="47"/>
      <c r="BB25" t="str">
        <f>'Section A Transfer Beam'!$A$25&amp;"|"&amp;'Section A Transfer Beam'!$B$25&amp;"|"&amp;'Section A Transfer Beam'!$C$25&amp;"|"&amp;'Section A Transfer Beam'!$E$25&amp;"|"&amp;'Section A Transfer Beam'!$F$25&amp;"|"&amp;'Section A Transfer Beam'!$H$25&amp;"|"&amp;'Section A Transfer Beam'!$I$25&amp;"|"&amp;'Section A Transfer Beam'!$K$25&amp;"|"&amp;'Section A Transfer Beam'!$L$25&amp;"|"&amp;'Section A Transfer Beam'!$N$25&amp;"|"&amp;'Section A Transfer Beam'!$O$25&amp;"|"&amp;'Section A Transfer Beam'!$Q$25&amp;"|"&amp;'Section A Transfer Beam'!$R$25&amp;"|"&amp;'Section A Transfer Beam'!$S$25&amp;"|"&amp;'Section A Transfer Beam'!$T$25&amp;"|"&amp;'Section A Transfer Beam'!$U$25&amp;"|"&amp;'Section A Transfer Beam'!$V$25&amp;"|"&amp;'Section A Transfer Beam'!$W$25&amp;"|"&amp;'Section A Transfer Beam'!$X$25&amp;"|"&amp;'Section A Transfer Beam'!$Y$25&amp;"|"&amp;'Section A Transfer Beam'!$Z$25&amp;"|"&amp;'Section A Transfer Beam'!$D$25&amp;"|"&amp;'Section A Transfer Beam'!$G$25&amp;"|"&amp;'Section A Transfer Beam'!$J$25&amp;"|"&amp;'Section A Transfer Beam'!$M$25&amp;"|"&amp;'Section A Transfer Beam'!$P$25&amp;"|cover|"&amp;'Section B Concrete Cover'!$B$3&amp;"|"&amp;'Section B Concrete Cover'!$E$9&amp;"|"&amp;'Section B Concrete Cover'!$E$10</f>
        <v>|||||||||||||0|1|End span||23|||60||||||cover|2|50|40</v>
      </c>
      <c r="BD25" s="85" t="s">
        <v>1092</v>
      </c>
    </row>
    <row r="26" spans="1:56" ht="42" customHeight="1">
      <c r="A26" s="47" t="s">
        <v>391</v>
      </c>
      <c r="B26" s="47"/>
      <c r="C26" s="49">
        <f>IF(INDEX('Section A Transfer Beam'!$S$6:$S$25,$C$4-5)="","",INDEX('Section A Transfer Beam'!$S$6:$S$25,$C$4-5))</f>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t="str">
        <f>IF(INDEX('Section A Transfer Beam'!$D$6:$D$25,$C$4-5)="","",INDEX('Section A Transfer Beam'!$D$6:$D$25,$C$4-5))</f>
        <v/>
      </c>
      <c r="C28" s="49" t="str">
        <f>IF(INDEX('Section A Transfer Beam'!$E$6:$E$25,$C$4-5)="","",INDEX('Section A Transfer Beam'!$E$6:$E$25,$C$4-5))</f>
        <v/>
      </c>
      <c r="D28" s="47" t="str">
        <f>IF(INDEX('Section A Transfer Beam'!$F$6:$F$25,$C$4-5)="","",INDEX('Section A Transfer Beam'!$F$6:$F$25,$C$4-5))</f>
        <v/>
      </c>
      <c r="E28" s="48" t="str">
        <f>IF(AND(ISNUMBER(C28),ISNUMBER(D28),ISNUMBER($C$7)),$C$7-D28,"")</f>
        <v/>
      </c>
      <c r="F28" s="47"/>
      <c r="K28" s="47"/>
      <c r="L28" s="47"/>
      <c r="M28" s="47"/>
      <c r="N28" s="47"/>
      <c r="O28" s="47"/>
      <c r="P28" s="47"/>
      <c r="Q28" s="47"/>
      <c r="R28" s="47" t="str">
        <f>IF(AND(ISNUMBER(C28),C28&gt;0),D28,$C$7)</f>
        <v/>
      </c>
      <c r="S28" s="47">
        <f>IF(ISNUMBER(C28),C28,0)</f>
        <v>0</v>
      </c>
      <c r="T28" s="47" t="str">
        <f>IF(B28="","",IFERROR(INDEX('Section A Transfer Column'!$Q$5:$Q$104,MATCH(B28,'Section A Transfer Column'!$O$5:$O$104,0)),"INVALID TC"))</f>
        <v/>
      </c>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t="str">
        <f>IF(INDEX('Section A Transfer Beam'!$G$6:$G$25,$C$4-5)="","",INDEX('Section A Transfer Beam'!$G$6:$G$25,$C$4-5))</f>
        <v/>
      </c>
      <c r="C29" s="49" t="str">
        <f>IF(INDEX('Section A Transfer Beam'!$H$6:$H$25,$C$4-5)="","",INDEX('Section A Transfer Beam'!$H$6:$H$25,$C$4-5))</f>
        <v/>
      </c>
      <c r="D29" s="47" t="str">
        <f>IF(INDEX('Section A Transfer Beam'!$I$6:$I$25,$C$4-5)="","",INDEX('Section A Transfer Beam'!$I$6:$I$25,$C$4-5))</f>
        <v/>
      </c>
      <c r="E29" s="48" t="str">
        <f>IF(AND(ISNUMBER(C29),ISNUMBER(D29),ISNUMBER($C$7)),$C$7-D29,"")</f>
        <v/>
      </c>
      <c r="F29" s="47"/>
      <c r="K29" s="47"/>
      <c r="L29" s="47"/>
      <c r="M29" s="47"/>
      <c r="N29" s="47"/>
      <c r="O29" s="47"/>
      <c r="P29" s="47"/>
      <c r="Q29" s="47"/>
      <c r="R29" s="47" t="str">
        <f>IF(AND(ISNUMBER(C29),C29&gt;0),D29,$C$7)</f>
        <v/>
      </c>
      <c r="S29" s="47">
        <f>IF(ISNUMBER(C29),C29,0)</f>
        <v>0</v>
      </c>
      <c r="T29" s="47" t="str">
        <f>IF(B29="","",IFERROR(INDEX('Section A Transfer Column'!$Q$5:$Q$104,MATCH(B29,'Section A Transfer Column'!$O$5:$O$104,0)),"INVALID TC"))</f>
        <v/>
      </c>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t="str">
        <f>IF(INDEX('Section A Transfer Beam'!$J$6:$J$25,$C$4-5)="","",INDEX('Section A Transfer Beam'!$J$6:$J$25,$C$4-5))</f>
        <v/>
      </c>
      <c r="C30" s="49" t="str">
        <f>IF(INDEX('Section A Transfer Beam'!$K$6:$K$25,$C$4-5)="","",INDEX('Section A Transfer Beam'!$K$6:$K$25,$C$4-5))</f>
        <v/>
      </c>
      <c r="D30" s="47" t="str">
        <f>IF(INDEX('Section A Transfer Beam'!$L$6:$L$25,$C$4-5)="","",INDEX('Section A Transfer Beam'!$L$6:$L$25,$C$4-5))</f>
        <v/>
      </c>
      <c r="E30" s="48" t="str">
        <f>IF(AND(ISNUMBER(C30),ISNUMBER(D30),ISNUMBER($C$7)),$C$7-D30,"")</f>
        <v/>
      </c>
      <c r="F30" s="47"/>
      <c r="K30" s="47"/>
      <c r="L30" s="47"/>
      <c r="M30" s="47"/>
      <c r="N30" s="47"/>
      <c r="O30" s="47"/>
      <c r="P30" s="47"/>
      <c r="Q30" s="47"/>
      <c r="R30" s="47" t="str">
        <f>IF(AND(ISNUMBER(C30),C30&gt;0),D30,$C$7)</f>
        <v/>
      </c>
      <c r="S30" s="47">
        <f>IF(ISNUMBER(C30),C30,0)</f>
        <v>0</v>
      </c>
      <c r="T30" s="47" t="str">
        <f>IF(B30="","",IFERROR(INDEX('Section A Transfer Column'!$Q$5:$Q$104,MATCH(B30,'Section A Transfer Column'!$O$5:$O$104,0)),"INVALID TC"))</f>
        <v/>
      </c>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t="str">
        <f>IF(INDEX('Section A Transfer Beam'!$M$6:$M$25,$C$4-5)="","",INDEX('Section A Transfer Beam'!$M$6:$M$25,$C$4-5))</f>
        <v/>
      </c>
      <c r="C31" s="49" t="str">
        <f>IF(INDEX('Section A Transfer Beam'!$N$6:$N$25,$C$4-5)="","",INDEX('Section A Transfer Beam'!$N$6:$N$25,$C$4-5))</f>
        <v/>
      </c>
      <c r="D31" s="47" t="str">
        <f>IF(INDEX('Section A Transfer Beam'!$O$6:$O$25,$C$4-5)="","",INDEX('Section A Transfer Beam'!$O$6:$O$25,$C$4-5))</f>
        <v/>
      </c>
      <c r="E31" s="48" t="str">
        <f>IF(AND(ISNUMBER(C31),ISNUMBER(D31),ISNUMBER($C$7)),$C$7-D31,"")</f>
        <v/>
      </c>
      <c r="F31" s="47"/>
      <c r="K31" s="47"/>
      <c r="L31" s="47"/>
      <c r="M31" s="47"/>
      <c r="N31" s="47"/>
      <c r="O31" s="47"/>
      <c r="P31" s="47"/>
      <c r="Q31" s="47"/>
      <c r="R31" s="47" t="str">
        <f>IF(AND(ISNUMBER(C31),C31&gt;0),D31,$C$7)</f>
        <v/>
      </c>
      <c r="S31" s="47">
        <f>IF(ISNUMBER(C31),C31,0)</f>
        <v>0</v>
      </c>
      <c r="T31" s="47" t="str">
        <f>IF(B31="","",IFERROR(INDEX('Section A Transfer Column'!$Q$5:$Q$104,MATCH(B31,'Section A Transfer Column'!$O$5:$O$104,0)),"INVALID TC"))</f>
        <v/>
      </c>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t="str">
        <f>IF(INDEX('Section A Transfer Beam'!$P$6:$P$25,$C$4-5)="","",INDEX('Section A Transfer Beam'!$P$6:$P$25,$C$4-5))</f>
        <v/>
      </c>
      <c r="C32" s="49" t="str">
        <f>IF(INDEX('Section A Transfer Beam'!$Q$6:$Q$25,$C$4-5)="","",INDEX('Section A Transfer Beam'!$Q$6:$Q$25,$C$4-5))</f>
        <v/>
      </c>
      <c r="D32" s="47" t="str">
        <f>IF(INDEX('Section A Transfer Beam'!$R$6:$R$25,$C$4-5)="","",INDEX('Section A Transfer Beam'!$R$6:$R$25,$C$4-5))</f>
        <v/>
      </c>
      <c r="E32" s="48" t="str">
        <f>IF(AND(ISNUMBER(C32),ISNUMBER(D32),ISNUMBER($C$7)),$C$7-D32,"")</f>
        <v/>
      </c>
      <c r="F32" s="47"/>
      <c r="K32" s="47"/>
      <c r="L32" s="47"/>
      <c r="M32" s="47"/>
      <c r="N32" s="47"/>
      <c r="O32" s="47"/>
      <c r="P32" s="47"/>
      <c r="Q32" s="47"/>
      <c r="R32" s="47" t="str">
        <f>IF(AND(ISNUMBER(C32),C32&gt;0),D32,$C$7)</f>
        <v/>
      </c>
      <c r="S32" s="47">
        <f>IF(ISNUMBER(C32),C32,0)</f>
        <v>0</v>
      </c>
      <c r="T32" s="47" t="str">
        <f>IF(B32="","",IFERROR(INDEX('Section A Transfer Column'!$Q$5:$Q$104,MATCH(B32,'Section A Transfer Column'!$O$5:$O$104,0)),"INVALID TC"))</f>
        <v/>
      </c>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49" t="e">
        <f>IF(COUNTIF(RCLoadResults73[Member],C6),INDEX(RCLoadResults73[RA],MATCH(C6,RCLoadResults73[Member],0)),IF(I25="OK",C26*C7/2+SUMPRODUCT(S28:S32,C7-R28:R32)/C7,""))</f>
        <v>#N/A</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49" t="e">
        <f>IF(COUNTIF(RCLoadResults73[Member],C6),INDEX(RCLoadResults73[RB],MATCH(C6,RCLoadResults73[Member],0)),IF(I25="OK",C26*C7/2+SUMPRODUCT(S28:S32,R28:R32)/C7,""))</f>
        <v>#N/A</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e">
        <f>IF(COUNTIF(RCLoadResults73[Member],C6),INDEX(RCLoadResults73[V],MATCH(C6,RCLoadResults73[Member],0)),IF(I25="OK",MAX(C34,C35),""))</f>
        <v>#N/A</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e">
        <f>IF(COUNTIF(RCLoadResults73[Member],C6),INDEX(RCLoadResults73[M],MATCH(C6,RCLoadResults73[Member],0)),IF(I25="OK",MAX(U35:U48),""))</f>
        <v>#N/A</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49" t="e">
        <f>IF(COUNTIF(RCLoadResults73[Member],C6),INDEX(RCLoadResults73[X],MATCH(C6,RCLoadResults73[Member],0)),IF(I25="OK",INDEX(T35:T48,MATCH(C37,U35:U48,0)),""))</f>
        <v>#N/A</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f>IF(ISNUMBER(C10),IF(C10&lt;=45,0.156,IF(C10&lt;=60,0.12,"REVIEW METHOD")),"")</f>
        <v>0.12</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IF(NOT(ISNUMBER(C10)),"INPUT REQUIRED",IF(OR(C10&lt;=0,C10&gt;60),"REVIEW METHOD","C60 OR BELOW / NO REDISTRIBUTION"))</f>
        <v>C60 OR BELOW / NO REDISTRIBUTION</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'Section B Transfer Beam Check'!G29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f>'Section B Transfer Beam Check'!Q40</f>
        <v>58</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'Section B Transfer Beam Check'!K38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'Section B Transfer Beam Check'!K36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f>SUM('Section B Transfer Beam Check'!C44:C47,'Section B Transfer Beam Check'!C114:C117)</f>
        <v>2</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f>SUM('Section B Transfer Beam Check'!C40:C43,'Section B Transfer Beam Check'!C110:C113)</f>
        <v>2</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f>COUNTIF('Section B Transfer Beam Check'!C44:C47,"&gt;0")+COUNTIF('Section B Transfer Beam Check'!C114:C117,"&gt;0")</f>
        <v>1</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f>COUNTIF('Section B Transfer Beam Check'!C40:C43,"&gt;0")+COUNTIF('Section B Transfer Beam Check'!C110:C113,"&gt;0")</f>
        <v>1</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'Section B Transfer Beam Check'!G44</f>
        <v/>
      </c>
      <c r="D51" s="47" t="s">
        <v>362</v>
      </c>
      <c r="E51" s="48"/>
      <c r="F51" s="47"/>
      <c r="G51" s="47" t="s">
        <v>418</v>
      </c>
      <c r="H51" s="47"/>
      <c r="I51" s="612" t="str">
        <f>IF(I25&lt;&gt;"OK",I25,IF(NOT(ISNUMBER(C40)),"REVIEW METHOD",IF(OR(NOT(ISNUMBER(C13)),C13&lt;0,NOT(ISNUMBER(C14)),C14&lt;=0,C17&lt;1),"INPUT REQUIRED: COVER / LINKS / WIDTH","OK")))</f>
        <v>INVALID INPUT</v>
      </c>
      <c r="J51" s="612"/>
      <c r="K51" s="612"/>
      <c r="L51" s="612"/>
      <c r="M51" s="612"/>
      <c r="N51" s="612"/>
      <c r="O51" s="47"/>
      <c r="P51" s="47"/>
      <c r="Q51" s="47"/>
      <c r="R51" s="47"/>
      <c r="S51" s="47"/>
      <c r="T51" s="47"/>
      <c r="U51" s="47"/>
      <c r="V51" s="47"/>
      <c r="W51" s="47"/>
      <c r="X51" s="47"/>
    </row>
    <row r="52" spans="1:24" ht="30" customHeight="1">
      <c r="A52" s="47" t="s">
        <v>364</v>
      </c>
      <c r="B52" s="47"/>
      <c r="C52" s="49" t="str">
        <f>'Section B Transfer Beam Check'!G40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'Section B Transfer Beam Check'!K30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'Section B Transfer Beam Check'!G35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f>IF(ISNUMBER(C47),IF(MAX(MIN(C47,C17),MIN(C48,C17))&lt;=1,C8-2*(C13+C14)-C15,(C8-2*(C13+C14)-MAX(MIN(C47,C17),MIN(C48,C17))*C15)/(MAX(MIN(C47,C17),MIN(C48,C17))-1)),"")</f>
        <v>868</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IF(AND('Section B Transfer Beam Check'!N40="OKAY",'Section B Transfer Beam Check'!N44="OKAY"),"OKAY (REFERENCE AREA CHECK)","NOT OKAY")</f>
        <v>NOT OKAY</v>
      </c>
      <c r="D60" s="61"/>
      <c r="E60" s="63"/>
      <c r="F60" s="47"/>
      <c r="G60" s="608" t="s">
        <v>454</v>
      </c>
      <c r="H60" s="608"/>
      <c r="I60" s="606" t="str">
        <f>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'Section B Transfer Beam Check'!K51</f>
        <v/>
      </c>
      <c r="D62" s="61" t="s">
        <v>349</v>
      </c>
      <c r="E62" s="63"/>
      <c r="F62" s="47"/>
      <c r="G62" s="608" t="s">
        <v>456</v>
      </c>
      <c r="H62" s="608"/>
      <c r="I62" s="606" t="str">
        <f>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f>IF(AND(ISNUMBER(C10),C10&gt;0),MIN(0.8*SQRT(C10),7),"")</f>
        <v>6.1967733539318672</v>
      </c>
      <c r="D63" s="47" t="s">
        <v>349</v>
      </c>
      <c r="E63" s="48"/>
      <c r="F63" s="47"/>
      <c r="G63" s="608" t="s">
        <v>457</v>
      </c>
      <c r="H63" s="608"/>
      <c r="I63" s="606" t="str">
        <f>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'Section B Transfer Beam Check'!G54</f>
        <v/>
      </c>
      <c r="D64" s="47" t="s">
        <v>349</v>
      </c>
      <c r="E64" s="48"/>
      <c r="F64" s="47"/>
      <c r="G64" s="608" t="s">
        <v>458</v>
      </c>
      <c r="H64" s="608"/>
      <c r="I64" s="606" t="str">
        <f>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'Section B Transfer Beam Check'!K56</f>
        <v/>
      </c>
      <c r="D65" s="47" t="s">
        <v>369</v>
      </c>
      <c r="E65" s="48"/>
      <c r="F65" s="47"/>
      <c r="G65" s="608" t="s">
        <v>459</v>
      </c>
      <c r="H65" s="608"/>
      <c r="I65" s="606" t="str">
        <f>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'Section B Transfer Beam Check'!K58</f>
        <v/>
      </c>
      <c r="D66" s="47" t="s">
        <v>369</v>
      </c>
      <c r="E66" s="48"/>
      <c r="F66" s="47"/>
      <c r="G66" s="608" t="s">
        <v>460</v>
      </c>
      <c r="H66" s="608"/>
      <c r="I66" s="606" t="str">
        <f>'Section B Transfer Beam Check'!K38</f>
        <v/>
      </c>
      <c r="J66" s="607"/>
      <c r="K66" s="607"/>
      <c r="L66" s="47"/>
      <c r="M66" s="47"/>
      <c r="N66" s="47"/>
      <c r="O66" s="47"/>
      <c r="P66" s="47"/>
      <c r="Q66" s="47"/>
      <c r="R66" s="47"/>
      <c r="S66" s="47"/>
      <c r="T66" s="47"/>
      <c r="U66" s="47"/>
      <c r="V66" s="47"/>
      <c r="W66" s="47"/>
      <c r="X66" s="47"/>
    </row>
    <row r="67" spans="1:24" ht="42" customHeight="1">
      <c r="A67" s="64" t="s">
        <v>429</v>
      </c>
      <c r="B67" s="61"/>
      <c r="C67" s="324" t="str">
        <f>IF(AND('Section B Transfer Beam Check'!N52="OKAY",'Section B Transfer Beam Check'!N59="OKAY"),"OKAY","NOT OKAY")</f>
        <v>NOT OKAY</v>
      </c>
      <c r="D67" s="61"/>
      <c r="E67" s="63"/>
      <c r="F67" s="47"/>
      <c r="G67" s="608" t="s">
        <v>461</v>
      </c>
      <c r="H67" s="608"/>
      <c r="I67" s="606" t="str">
        <f>'Section B Transfer Beam Check'!G82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'Section B Transfer Beam Check'!G85</f>
        <v/>
      </c>
      <c r="D69" s="61"/>
      <c r="E69" s="48" t="str">
        <f>IF(AND(ISNUMBER(C4),C4&gt;=6,C4&lt;=25,C4=INT(C4)),IF(INDEX('Section A Transfer Beam'!$U$6:$U$25,C4-5)="","Select a Beam condition in Section A Transfer Beam",INDEX('Section A Transfer Beam'!$U$6:$U$25,C4-5)&amp;"; linked to source Limit."),"Select source row 6-25")</f>
        <v>End span; linked to source Limit.</v>
      </c>
      <c r="F69" s="47"/>
      <c r="G69" s="608" t="s">
        <v>463</v>
      </c>
      <c r="H69" s="608"/>
      <c r="I69" s="606" t="str">
        <f>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IF(AND(ISNUMBER(C7),C7&gt;0),MIN(1,10/C7),"")</f>
        <v/>
      </c>
      <c r="D70" s="47"/>
      <c r="E70" s="48"/>
      <c r="F70" s="47"/>
      <c r="G70" s="608" t="s">
        <v>464</v>
      </c>
      <c r="H70" s="608"/>
      <c r="I70" s="606" t="str">
        <f>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'Section B Transfer Beam Check'!G87</f>
        <v/>
      </c>
      <c r="D71" s="47"/>
      <c r="E71" s="48"/>
      <c r="F71" s="47"/>
      <c r="G71" s="608" t="s">
        <v>465</v>
      </c>
      <c r="H71" s="608"/>
      <c r="I71" s="606" t="str">
        <f>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'Section B Transfer Beam Check'!G86</f>
        <v/>
      </c>
      <c r="D72" s="47"/>
      <c r="E72" s="48"/>
      <c r="F72" s="47"/>
      <c r="G72" s="608" t="s">
        <v>466</v>
      </c>
      <c r="H72" s="608"/>
      <c r="I72" s="619" t="str">
        <f>IF(COUNT(I70:I71)=2,"CALCULATED","INPUT / SECTION REVIEW")</f>
        <v>INPUT / SECTION REVIEW</v>
      </c>
      <c r="J72" s="620"/>
      <c r="K72" s="620"/>
      <c r="L72" s="47"/>
      <c r="M72" s="47"/>
      <c r="N72" s="47"/>
      <c r="O72" s="47"/>
      <c r="P72" s="47"/>
      <c r="Q72" s="47"/>
      <c r="R72" s="47"/>
      <c r="S72" s="47"/>
      <c r="T72" s="47"/>
      <c r="U72" s="47"/>
      <c r="V72" s="47"/>
      <c r="W72" s="47"/>
      <c r="X72" s="47"/>
    </row>
    <row r="73" spans="1:24" ht="42" customHeight="1">
      <c r="A73" s="64" t="s">
        <v>375</v>
      </c>
      <c r="B73" s="61"/>
      <c r="C73" s="324" t="str">
        <f>'Section B Transfer Beam Check'!N87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t="str">
        <f>'Section B Transfer Beam Check'!R24</f>
        <v>AUTO: saved selection loaded; UPDATE reselects when inputs change.</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26" si="3">IF(AND(ISNUMBER(B95),B95&gt;0),$C$37*10^6/($C$8*B95^2*$C$10),"")</f>
        <v/>
      </c>
      <c r="E95" s="326" t="str">
        <f t="shared" ref="E95:E126" si="4">IF(ISNUMBER(D95),MIN(0.95*B95,B95*(0.5+SQRT(0.25-MIN(D95,$C$40)/0.9))),"")</f>
        <v/>
      </c>
      <c r="F95" s="326" t="str">
        <f t="shared" ref="F95:F126" si="5">IF(ISNUMBER(E95),(B95-E95)/IF($C$10&lt;=45,0.45,0.4),"")</f>
        <v/>
      </c>
      <c r="G95" s="326" t="str">
        <f t="shared" ref="G95:G126" si="6">IF(ISNUMBER(F95),IF(D95&lt;=$C$40,0,MAX(0,MIN(0.87*$C$11,700*(1-C95/F95)))),"")</f>
        <v/>
      </c>
      <c r="H95" s="326" t="str">
        <f t="shared" ref="H95:H126" si="7">IF(ISNUMBER(G95),IF(D95&lt;=$C$40,0,IF(OR(G95&lt;=0,B95&lt;=C95),"SECTION TOO SMALL",(D95-$C$40)*$C$10*$C$8*B95^2/(G95*(B95-C95)))),"")</f>
        <v/>
      </c>
      <c r="I95" s="326" t="str">
        <f t="shared" ref="I95:I126" si="8">IF(ISNUMBER(H95),MAX(0.0013*$C$8*$C$9,MIN(D95,$C$40)*$C$10*$C$8*B95^2/(0.87*$C$11*E95)+H95*G95/(0.87*$C$11)),"")</f>
        <v/>
      </c>
      <c r="J95" s="326" t="str">
        <f t="shared" ref="J95:J126" si="9">IF(ISNUMBER(I95),ROUNDUP(I95/(PI()*$C$15^2/4),0),"")</f>
        <v/>
      </c>
      <c r="K95" s="326" t="str">
        <f t="shared" ref="K95:K126" si="10">IF(ISNUMBER(H95),ROUNDUP(H95/(PI()*$C$15^2/4),0),"")</f>
        <v/>
      </c>
      <c r="L95" s="326" t="str">
        <f t="shared" ref="L95:L126" si="11">IF(ISNUMBER(J95),ROUNDUP(J95/$C$17,0),"")</f>
        <v/>
      </c>
      <c r="M95" s="326" t="str">
        <f t="shared" ref="M95:M126" si="12">IF(ISNUMBER(K95),ROUNDUP(K95/$C$17,0),"")</f>
        <v/>
      </c>
      <c r="N95" s="326" t="str">
        <f t="shared" ref="N95:N126" si="13">IF(ISNUMBER(J95),INT(J95/$C$17),"")</f>
        <v/>
      </c>
      <c r="O95" s="326" t="str">
        <f t="shared" ref="O95:O126" si="14">IF(ISNUMBER(J95),MOD(J95,$C$17),"")</f>
        <v/>
      </c>
      <c r="P95" s="326" t="str">
        <f t="shared" ref="P95:P126" si="15">IF(ISNUMBER(J95),$C$13+$C$14+$C$15/2+($C$15+$C$16)*(L95-1)/2,"")</f>
        <v/>
      </c>
      <c r="Q95" s="326" t="str">
        <f t="shared" ref="Q95:Q126" si="16">IF(ISNUMBER(K95),INT(K95/$C$17),"")</f>
        <v/>
      </c>
      <c r="R95" s="326" t="str">
        <f t="shared" ref="R95:R126" si="17">IF(ISNUMBER(K95),MOD(K95,$C$17),"")</f>
        <v/>
      </c>
      <c r="S95" s="326" t="str">
        <f t="shared" ref="S95:S126" si="18">IF(ISNUMBER(K95),$C$13+$C$14+$C$15/2+IF(K95=0,0,2*$C$15*(M95-1)/2),"")</f>
        <v/>
      </c>
      <c r="T95" s="326" t="str">
        <f t="shared" ref="T95:T126" si="19">IF(ISNUMBER(P95),$C$9-P95,"")</f>
        <v/>
      </c>
      <c r="U95" s="326" t="str">
        <f t="shared" ref="U95:U126" si="20">IF(ISNUMBER(S95),S95,"")</f>
        <v/>
      </c>
      <c r="V95" s="326" t="str">
        <f t="shared" ref="V95:V126" si="21">IF(ISNUMBER(L95),$C$9-2*($C$13+$C$14)-$C$15-(L95-1)*($C$15+$C$16)-IF(M95=0,0,$C$15+(M95-1)*2*$C$15),"")</f>
        <v/>
      </c>
      <c r="W95" s="326" t="str">
        <f t="shared" ref="W95:W126" si="22">IF(AND(ISNUMBER(T95),ISNUMBER(U95)),ABS(T95-B95)+ABS(U95-C95),"")</f>
        <v/>
      </c>
      <c r="X95" s="51" t="str">
        <f t="shared" ref="X95:X126" si="23">IF(NOT(ISNUMBER(W95)),"INPUT / SECTION REVIEW",IF(OR(T95&lt;=0,V95&lt;IF(M95=0,0,$C$16)),"BARS DO NOT FIT",IF(W95&lt;0.001,"CONVERGED","ITERATING")))</f>
        <v>INPUT / SECTION REVIEW</v>
      </c>
    </row>
    <row r="96" spans="1:24" ht="19.95" hidden="1" customHeight="1" outlineLevel="1">
      <c r="A96" s="51">
        <v>2</v>
      </c>
      <c r="B96" s="326" t="str">
        <f t="shared" ref="B96:B127" si="24">IF(ISNUMBER(T95),T95,"")</f>
        <v/>
      </c>
      <c r="C96" s="326" t="str">
        <f t="shared" ref="C96:C127" si="25">IF(ISNUMBER(U95),U95,"")</f>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2"/>
        <v/>
      </c>
      <c r="N96" s="326" t="str">
        <f t="shared" si="13"/>
        <v/>
      </c>
      <c r="O96" s="326" t="str">
        <f t="shared" si="14"/>
        <v/>
      </c>
      <c r="P96" s="326" t="str">
        <f t="shared" si="15"/>
        <v/>
      </c>
      <c r="Q96" s="326" t="str">
        <f t="shared" si="16"/>
        <v/>
      </c>
      <c r="R96" s="326" t="str">
        <f t="shared" si="17"/>
        <v/>
      </c>
      <c r="S96" s="326" t="str">
        <f t="shared" si="18"/>
        <v/>
      </c>
      <c r="T96" s="326" t="str">
        <f t="shared" si="19"/>
        <v/>
      </c>
      <c r="U96" s="326" t="str">
        <f t="shared" si="20"/>
        <v/>
      </c>
      <c r="V96" s="326" t="str">
        <f t="shared" si="21"/>
        <v/>
      </c>
      <c r="W96" s="326" t="str">
        <f t="shared" si="22"/>
        <v/>
      </c>
      <c r="X96" s="51" t="str">
        <f t="shared" si="23"/>
        <v>INPUT / SECTION REVIEW</v>
      </c>
    </row>
    <row r="97" spans="1:24" ht="19.95" hidden="1" customHeight="1" outlineLevel="1">
      <c r="A97" s="51">
        <v>3</v>
      </c>
      <c r="B97" s="326" t="str">
        <f t="shared" si="24"/>
        <v/>
      </c>
      <c r="C97" s="326" t="str">
        <f t="shared" si="25"/>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2"/>
        <v/>
      </c>
      <c r="N97" s="326" t="str">
        <f t="shared" si="13"/>
        <v/>
      </c>
      <c r="O97" s="326" t="str">
        <f t="shared" si="14"/>
        <v/>
      </c>
      <c r="P97" s="326" t="str">
        <f t="shared" si="15"/>
        <v/>
      </c>
      <c r="Q97" s="326" t="str">
        <f t="shared" si="16"/>
        <v/>
      </c>
      <c r="R97" s="326" t="str">
        <f t="shared" si="17"/>
        <v/>
      </c>
      <c r="S97" s="326" t="str">
        <f t="shared" si="18"/>
        <v/>
      </c>
      <c r="T97" s="326" t="str">
        <f t="shared" si="19"/>
        <v/>
      </c>
      <c r="U97" s="326" t="str">
        <f t="shared" si="20"/>
        <v/>
      </c>
      <c r="V97" s="326" t="str">
        <f t="shared" si="21"/>
        <v/>
      </c>
      <c r="W97" s="326" t="str">
        <f t="shared" si="22"/>
        <v/>
      </c>
      <c r="X97" s="51" t="str">
        <f t="shared" si="23"/>
        <v>INPUT / SECTION REVIEW</v>
      </c>
    </row>
    <row r="98" spans="1:24" ht="19.95" hidden="1" customHeight="1" outlineLevel="1">
      <c r="A98" s="51">
        <v>4</v>
      </c>
      <c r="B98" s="326" t="str">
        <f t="shared" si="24"/>
        <v/>
      </c>
      <c r="C98" s="326" t="str">
        <f t="shared" si="25"/>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2"/>
        <v/>
      </c>
      <c r="N98" s="326" t="str">
        <f t="shared" si="13"/>
        <v/>
      </c>
      <c r="O98" s="326" t="str">
        <f t="shared" si="14"/>
        <v/>
      </c>
      <c r="P98" s="326" t="str">
        <f t="shared" si="15"/>
        <v/>
      </c>
      <c r="Q98" s="326" t="str">
        <f t="shared" si="16"/>
        <v/>
      </c>
      <c r="R98" s="326" t="str">
        <f t="shared" si="17"/>
        <v/>
      </c>
      <c r="S98" s="326" t="str">
        <f t="shared" si="18"/>
        <v/>
      </c>
      <c r="T98" s="326" t="str">
        <f t="shared" si="19"/>
        <v/>
      </c>
      <c r="U98" s="326" t="str">
        <f t="shared" si="20"/>
        <v/>
      </c>
      <c r="V98" s="326" t="str">
        <f t="shared" si="21"/>
        <v/>
      </c>
      <c r="W98" s="326" t="str">
        <f t="shared" si="22"/>
        <v/>
      </c>
      <c r="X98" s="51" t="str">
        <f t="shared" si="23"/>
        <v>INPUT / SECTION REVIEW</v>
      </c>
    </row>
    <row r="99" spans="1:24" ht="19.95" hidden="1" customHeight="1" outlineLevel="1">
      <c r="A99" s="51">
        <v>5</v>
      </c>
      <c r="B99" s="326" t="str">
        <f t="shared" si="24"/>
        <v/>
      </c>
      <c r="C99" s="326" t="str">
        <f t="shared" si="25"/>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2"/>
        <v/>
      </c>
      <c r="N99" s="326" t="str">
        <f t="shared" si="13"/>
        <v/>
      </c>
      <c r="O99" s="326" t="str">
        <f t="shared" si="14"/>
        <v/>
      </c>
      <c r="P99" s="326" t="str">
        <f t="shared" si="15"/>
        <v/>
      </c>
      <c r="Q99" s="326" t="str">
        <f t="shared" si="16"/>
        <v/>
      </c>
      <c r="R99" s="326" t="str">
        <f t="shared" si="17"/>
        <v/>
      </c>
      <c r="S99" s="326" t="str">
        <f t="shared" si="18"/>
        <v/>
      </c>
      <c r="T99" s="326" t="str">
        <f t="shared" si="19"/>
        <v/>
      </c>
      <c r="U99" s="326" t="str">
        <f t="shared" si="20"/>
        <v/>
      </c>
      <c r="V99" s="326" t="str">
        <f t="shared" si="21"/>
        <v/>
      </c>
      <c r="W99" s="326" t="str">
        <f t="shared" si="22"/>
        <v/>
      </c>
      <c r="X99" s="51" t="str">
        <f t="shared" si="23"/>
        <v>INPUT / SECTION REVIEW</v>
      </c>
    </row>
    <row r="100" spans="1:24" ht="19.95" hidden="1" customHeight="1" outlineLevel="1">
      <c r="A100" s="51">
        <v>6</v>
      </c>
      <c r="B100" s="326" t="str">
        <f t="shared" si="24"/>
        <v/>
      </c>
      <c r="C100" s="326" t="str">
        <f t="shared" si="25"/>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2"/>
        <v/>
      </c>
      <c r="N100" s="326" t="str">
        <f t="shared" si="13"/>
        <v/>
      </c>
      <c r="O100" s="326" t="str">
        <f t="shared" si="14"/>
        <v/>
      </c>
      <c r="P100" s="326" t="str">
        <f t="shared" si="15"/>
        <v/>
      </c>
      <c r="Q100" s="326" t="str">
        <f t="shared" si="16"/>
        <v/>
      </c>
      <c r="R100" s="326" t="str">
        <f t="shared" si="17"/>
        <v/>
      </c>
      <c r="S100" s="326" t="str">
        <f t="shared" si="18"/>
        <v/>
      </c>
      <c r="T100" s="326" t="str">
        <f t="shared" si="19"/>
        <v/>
      </c>
      <c r="U100" s="326" t="str">
        <f t="shared" si="20"/>
        <v/>
      </c>
      <c r="V100" s="326" t="str">
        <f t="shared" si="21"/>
        <v/>
      </c>
      <c r="W100" s="326" t="str">
        <f t="shared" si="22"/>
        <v/>
      </c>
      <c r="X100" s="51" t="str">
        <f t="shared" si="23"/>
        <v>INPUT / SECTION REVIEW</v>
      </c>
    </row>
    <row r="101" spans="1:24" ht="19.95" hidden="1" customHeight="1" outlineLevel="1">
      <c r="A101" s="51">
        <v>7</v>
      </c>
      <c r="B101" s="326" t="str">
        <f t="shared" si="24"/>
        <v/>
      </c>
      <c r="C101" s="326" t="str">
        <f t="shared" si="25"/>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2"/>
        <v/>
      </c>
      <c r="N101" s="326" t="str">
        <f t="shared" si="13"/>
        <v/>
      </c>
      <c r="O101" s="326" t="str">
        <f t="shared" si="14"/>
        <v/>
      </c>
      <c r="P101" s="326" t="str">
        <f t="shared" si="15"/>
        <v/>
      </c>
      <c r="Q101" s="326" t="str">
        <f t="shared" si="16"/>
        <v/>
      </c>
      <c r="R101" s="326" t="str">
        <f t="shared" si="17"/>
        <v/>
      </c>
      <c r="S101" s="326" t="str">
        <f t="shared" si="18"/>
        <v/>
      </c>
      <c r="T101" s="326" t="str">
        <f t="shared" si="19"/>
        <v/>
      </c>
      <c r="U101" s="326" t="str">
        <f t="shared" si="20"/>
        <v/>
      </c>
      <c r="V101" s="326" t="str">
        <f t="shared" si="21"/>
        <v/>
      </c>
      <c r="W101" s="326" t="str">
        <f t="shared" si="22"/>
        <v/>
      </c>
      <c r="X101" s="51" t="str">
        <f t="shared" si="23"/>
        <v>INPUT / SECTION REVIEW</v>
      </c>
    </row>
    <row r="102" spans="1:24" ht="19.95" hidden="1" customHeight="1" outlineLevel="1">
      <c r="A102" s="51">
        <v>8</v>
      </c>
      <c r="B102" s="326" t="str">
        <f t="shared" si="24"/>
        <v/>
      </c>
      <c r="C102" s="326" t="str">
        <f t="shared" si="25"/>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2"/>
        <v/>
      </c>
      <c r="N102" s="326" t="str">
        <f t="shared" si="13"/>
        <v/>
      </c>
      <c r="O102" s="326" t="str">
        <f t="shared" si="14"/>
        <v/>
      </c>
      <c r="P102" s="326" t="str">
        <f t="shared" si="15"/>
        <v/>
      </c>
      <c r="Q102" s="326" t="str">
        <f t="shared" si="16"/>
        <v/>
      </c>
      <c r="R102" s="326" t="str">
        <f t="shared" si="17"/>
        <v/>
      </c>
      <c r="S102" s="326" t="str">
        <f t="shared" si="18"/>
        <v/>
      </c>
      <c r="T102" s="326" t="str">
        <f t="shared" si="19"/>
        <v/>
      </c>
      <c r="U102" s="326" t="str">
        <f t="shared" si="20"/>
        <v/>
      </c>
      <c r="V102" s="326" t="str">
        <f t="shared" si="21"/>
        <v/>
      </c>
      <c r="W102" s="326" t="str">
        <f t="shared" si="22"/>
        <v/>
      </c>
      <c r="X102" s="51" t="str">
        <f t="shared" si="23"/>
        <v>INPUT / SECTION REVIEW</v>
      </c>
    </row>
    <row r="103" spans="1:24" ht="19.95" hidden="1" customHeight="1" outlineLevel="1">
      <c r="A103" s="51">
        <v>9</v>
      </c>
      <c r="B103" s="326" t="str">
        <f t="shared" si="24"/>
        <v/>
      </c>
      <c r="C103" s="326" t="str">
        <f t="shared" si="25"/>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2"/>
        <v/>
      </c>
      <c r="N103" s="326" t="str">
        <f t="shared" si="13"/>
        <v/>
      </c>
      <c r="O103" s="326" t="str">
        <f t="shared" si="14"/>
        <v/>
      </c>
      <c r="P103" s="326" t="str">
        <f t="shared" si="15"/>
        <v/>
      </c>
      <c r="Q103" s="326" t="str">
        <f t="shared" si="16"/>
        <v/>
      </c>
      <c r="R103" s="326" t="str">
        <f t="shared" si="17"/>
        <v/>
      </c>
      <c r="S103" s="326" t="str">
        <f t="shared" si="18"/>
        <v/>
      </c>
      <c r="T103" s="326" t="str">
        <f t="shared" si="19"/>
        <v/>
      </c>
      <c r="U103" s="326" t="str">
        <f t="shared" si="20"/>
        <v/>
      </c>
      <c r="V103" s="326" t="str">
        <f t="shared" si="21"/>
        <v/>
      </c>
      <c r="W103" s="326" t="str">
        <f t="shared" si="22"/>
        <v/>
      </c>
      <c r="X103" s="51" t="str">
        <f t="shared" si="23"/>
        <v>INPUT / SECTION REVIEW</v>
      </c>
    </row>
    <row r="104" spans="1:24" ht="19.95" hidden="1" customHeight="1" outlineLevel="1">
      <c r="A104" s="51">
        <v>10</v>
      </c>
      <c r="B104" s="326" t="str">
        <f t="shared" si="24"/>
        <v/>
      </c>
      <c r="C104" s="326" t="str">
        <f t="shared" si="25"/>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2"/>
        <v/>
      </c>
      <c r="N104" s="326" t="str">
        <f t="shared" si="13"/>
        <v/>
      </c>
      <c r="O104" s="326" t="str">
        <f t="shared" si="14"/>
        <v/>
      </c>
      <c r="P104" s="326" t="str">
        <f t="shared" si="15"/>
        <v/>
      </c>
      <c r="Q104" s="326" t="str">
        <f t="shared" si="16"/>
        <v/>
      </c>
      <c r="R104" s="326" t="str">
        <f t="shared" si="17"/>
        <v/>
      </c>
      <c r="S104" s="326" t="str">
        <f t="shared" si="18"/>
        <v/>
      </c>
      <c r="T104" s="326" t="str">
        <f t="shared" si="19"/>
        <v/>
      </c>
      <c r="U104" s="326" t="str">
        <f t="shared" si="20"/>
        <v/>
      </c>
      <c r="V104" s="326" t="str">
        <f t="shared" si="21"/>
        <v/>
      </c>
      <c r="W104" s="326" t="str">
        <f t="shared" si="22"/>
        <v/>
      </c>
      <c r="X104" s="51" t="str">
        <f t="shared" si="23"/>
        <v>INPUT / SECTION REVIEW</v>
      </c>
    </row>
    <row r="105" spans="1:24" ht="19.95" hidden="1" customHeight="1" outlineLevel="1">
      <c r="A105" s="51">
        <v>11</v>
      </c>
      <c r="B105" s="326" t="str">
        <f t="shared" si="24"/>
        <v/>
      </c>
      <c r="C105" s="326" t="str">
        <f t="shared" si="25"/>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2"/>
        <v/>
      </c>
      <c r="N105" s="326" t="str">
        <f t="shared" si="13"/>
        <v/>
      </c>
      <c r="O105" s="326" t="str">
        <f t="shared" si="14"/>
        <v/>
      </c>
      <c r="P105" s="326" t="str">
        <f t="shared" si="15"/>
        <v/>
      </c>
      <c r="Q105" s="326" t="str">
        <f t="shared" si="16"/>
        <v/>
      </c>
      <c r="R105" s="326" t="str">
        <f t="shared" si="17"/>
        <v/>
      </c>
      <c r="S105" s="326" t="str">
        <f t="shared" si="18"/>
        <v/>
      </c>
      <c r="T105" s="326" t="str">
        <f t="shared" si="19"/>
        <v/>
      </c>
      <c r="U105" s="326" t="str">
        <f t="shared" si="20"/>
        <v/>
      </c>
      <c r="V105" s="326" t="str">
        <f t="shared" si="21"/>
        <v/>
      </c>
      <c r="W105" s="326" t="str">
        <f t="shared" si="22"/>
        <v/>
      </c>
      <c r="X105" s="51" t="str">
        <f t="shared" si="23"/>
        <v>INPUT / SECTION REVIEW</v>
      </c>
    </row>
    <row r="106" spans="1:24" ht="19.95" hidden="1" customHeight="1" outlineLevel="1">
      <c r="A106" s="51">
        <v>12</v>
      </c>
      <c r="B106" s="326" t="str">
        <f t="shared" si="24"/>
        <v/>
      </c>
      <c r="C106" s="326" t="str">
        <f t="shared" si="25"/>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2"/>
        <v/>
      </c>
      <c r="N106" s="326" t="str">
        <f t="shared" si="13"/>
        <v/>
      </c>
      <c r="O106" s="326" t="str">
        <f t="shared" si="14"/>
        <v/>
      </c>
      <c r="P106" s="326" t="str">
        <f t="shared" si="15"/>
        <v/>
      </c>
      <c r="Q106" s="326" t="str">
        <f t="shared" si="16"/>
        <v/>
      </c>
      <c r="R106" s="326" t="str">
        <f t="shared" si="17"/>
        <v/>
      </c>
      <c r="S106" s="326" t="str">
        <f t="shared" si="18"/>
        <v/>
      </c>
      <c r="T106" s="326" t="str">
        <f t="shared" si="19"/>
        <v/>
      </c>
      <c r="U106" s="326" t="str">
        <f t="shared" si="20"/>
        <v/>
      </c>
      <c r="V106" s="326" t="str">
        <f t="shared" si="21"/>
        <v/>
      </c>
      <c r="W106" s="326" t="str">
        <f t="shared" si="22"/>
        <v/>
      </c>
      <c r="X106" s="51" t="str">
        <f t="shared" si="23"/>
        <v>INPUT / SECTION REVIEW</v>
      </c>
    </row>
    <row r="107" spans="1:24" ht="19.95" hidden="1" customHeight="1" outlineLevel="1">
      <c r="A107" s="51">
        <v>13</v>
      </c>
      <c r="B107" s="326" t="str">
        <f t="shared" si="24"/>
        <v/>
      </c>
      <c r="C107" s="326" t="str">
        <f t="shared" si="25"/>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2"/>
        <v/>
      </c>
      <c r="N107" s="326" t="str">
        <f t="shared" si="13"/>
        <v/>
      </c>
      <c r="O107" s="326" t="str">
        <f t="shared" si="14"/>
        <v/>
      </c>
      <c r="P107" s="326" t="str">
        <f t="shared" si="15"/>
        <v/>
      </c>
      <c r="Q107" s="326" t="str">
        <f t="shared" si="16"/>
        <v/>
      </c>
      <c r="R107" s="326" t="str">
        <f t="shared" si="17"/>
        <v/>
      </c>
      <c r="S107" s="326" t="str">
        <f t="shared" si="18"/>
        <v/>
      </c>
      <c r="T107" s="326" t="str">
        <f t="shared" si="19"/>
        <v/>
      </c>
      <c r="U107" s="326" t="str">
        <f t="shared" si="20"/>
        <v/>
      </c>
      <c r="V107" s="326" t="str">
        <f t="shared" si="21"/>
        <v/>
      </c>
      <c r="W107" s="326" t="str">
        <f t="shared" si="22"/>
        <v/>
      </c>
      <c r="X107" s="51" t="str">
        <f t="shared" si="23"/>
        <v>INPUT / SECTION REVIEW</v>
      </c>
    </row>
    <row r="108" spans="1:24" ht="19.95" hidden="1" customHeight="1" outlineLevel="1">
      <c r="A108" s="51">
        <v>14</v>
      </c>
      <c r="B108" s="326" t="str">
        <f t="shared" si="24"/>
        <v/>
      </c>
      <c r="C108" s="326" t="str">
        <f t="shared" si="25"/>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2"/>
        <v/>
      </c>
      <c r="N108" s="326" t="str">
        <f t="shared" si="13"/>
        <v/>
      </c>
      <c r="O108" s="326" t="str">
        <f t="shared" si="14"/>
        <v/>
      </c>
      <c r="P108" s="326" t="str">
        <f t="shared" si="15"/>
        <v/>
      </c>
      <c r="Q108" s="326" t="str">
        <f t="shared" si="16"/>
        <v/>
      </c>
      <c r="R108" s="326" t="str">
        <f t="shared" si="17"/>
        <v/>
      </c>
      <c r="S108" s="326" t="str">
        <f t="shared" si="18"/>
        <v/>
      </c>
      <c r="T108" s="326" t="str">
        <f t="shared" si="19"/>
        <v/>
      </c>
      <c r="U108" s="326" t="str">
        <f t="shared" si="20"/>
        <v/>
      </c>
      <c r="V108" s="326" t="str">
        <f t="shared" si="21"/>
        <v/>
      </c>
      <c r="W108" s="326" t="str">
        <f t="shared" si="22"/>
        <v/>
      </c>
      <c r="X108" s="51" t="str">
        <f t="shared" si="23"/>
        <v>INPUT / SECTION REVIEW</v>
      </c>
    </row>
    <row r="109" spans="1:24" ht="19.95" hidden="1" customHeight="1" outlineLevel="1">
      <c r="A109" s="51">
        <v>15</v>
      </c>
      <c r="B109" s="326" t="str">
        <f t="shared" si="24"/>
        <v/>
      </c>
      <c r="C109" s="326" t="str">
        <f t="shared" si="25"/>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2"/>
        <v/>
      </c>
      <c r="N109" s="326" t="str">
        <f t="shared" si="13"/>
        <v/>
      </c>
      <c r="O109" s="326" t="str">
        <f t="shared" si="14"/>
        <v/>
      </c>
      <c r="P109" s="326" t="str">
        <f t="shared" si="15"/>
        <v/>
      </c>
      <c r="Q109" s="326" t="str">
        <f t="shared" si="16"/>
        <v/>
      </c>
      <c r="R109" s="326" t="str">
        <f t="shared" si="17"/>
        <v/>
      </c>
      <c r="S109" s="326" t="str">
        <f t="shared" si="18"/>
        <v/>
      </c>
      <c r="T109" s="326" t="str">
        <f t="shared" si="19"/>
        <v/>
      </c>
      <c r="U109" s="326" t="str">
        <f t="shared" si="20"/>
        <v/>
      </c>
      <c r="V109" s="326" t="str">
        <f t="shared" si="21"/>
        <v/>
      </c>
      <c r="W109" s="326" t="str">
        <f t="shared" si="22"/>
        <v/>
      </c>
      <c r="X109" s="51" t="str">
        <f t="shared" si="23"/>
        <v>INPUT / SECTION REVIEW</v>
      </c>
    </row>
    <row r="110" spans="1:24" ht="19.95" hidden="1" customHeight="1" outlineLevel="1">
      <c r="A110" s="51">
        <v>16</v>
      </c>
      <c r="B110" s="326" t="str">
        <f t="shared" si="24"/>
        <v/>
      </c>
      <c r="C110" s="326" t="str">
        <f t="shared" si="25"/>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2"/>
        <v/>
      </c>
      <c r="N110" s="326" t="str">
        <f t="shared" si="13"/>
        <v/>
      </c>
      <c r="O110" s="326" t="str">
        <f t="shared" si="14"/>
        <v/>
      </c>
      <c r="P110" s="326" t="str">
        <f t="shared" si="15"/>
        <v/>
      </c>
      <c r="Q110" s="326" t="str">
        <f t="shared" si="16"/>
        <v/>
      </c>
      <c r="R110" s="326" t="str">
        <f t="shared" si="17"/>
        <v/>
      </c>
      <c r="S110" s="326" t="str">
        <f t="shared" si="18"/>
        <v/>
      </c>
      <c r="T110" s="326" t="str">
        <f t="shared" si="19"/>
        <v/>
      </c>
      <c r="U110" s="326" t="str">
        <f t="shared" si="20"/>
        <v/>
      </c>
      <c r="V110" s="326" t="str">
        <f t="shared" si="21"/>
        <v/>
      </c>
      <c r="W110" s="326" t="str">
        <f t="shared" si="22"/>
        <v/>
      </c>
      <c r="X110" s="51" t="str">
        <f t="shared" si="23"/>
        <v>INPUT / SECTION REVIEW</v>
      </c>
    </row>
    <row r="111" spans="1:24" ht="19.95" hidden="1" customHeight="1" outlineLevel="1">
      <c r="A111" s="51">
        <v>17</v>
      </c>
      <c r="B111" s="326" t="str">
        <f t="shared" si="24"/>
        <v/>
      </c>
      <c r="C111" s="326" t="str">
        <f t="shared" si="25"/>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2"/>
        <v/>
      </c>
      <c r="N111" s="326" t="str">
        <f t="shared" si="13"/>
        <v/>
      </c>
      <c r="O111" s="326" t="str">
        <f t="shared" si="14"/>
        <v/>
      </c>
      <c r="P111" s="326" t="str">
        <f t="shared" si="15"/>
        <v/>
      </c>
      <c r="Q111" s="326" t="str">
        <f t="shared" si="16"/>
        <v/>
      </c>
      <c r="R111" s="326" t="str">
        <f t="shared" si="17"/>
        <v/>
      </c>
      <c r="S111" s="326" t="str">
        <f t="shared" si="18"/>
        <v/>
      </c>
      <c r="T111" s="326" t="str">
        <f t="shared" si="19"/>
        <v/>
      </c>
      <c r="U111" s="326" t="str">
        <f t="shared" si="20"/>
        <v/>
      </c>
      <c r="V111" s="326" t="str">
        <f t="shared" si="21"/>
        <v/>
      </c>
      <c r="W111" s="326" t="str">
        <f t="shared" si="22"/>
        <v/>
      </c>
      <c r="X111" s="51" t="str">
        <f t="shared" si="23"/>
        <v>INPUT / SECTION REVIEW</v>
      </c>
    </row>
    <row r="112" spans="1:24" ht="19.95" hidden="1" customHeight="1" outlineLevel="1">
      <c r="A112" s="51">
        <v>18</v>
      </c>
      <c r="B112" s="326" t="str">
        <f t="shared" si="24"/>
        <v/>
      </c>
      <c r="C112" s="326" t="str">
        <f t="shared" si="25"/>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2"/>
        <v/>
      </c>
      <c r="N112" s="326" t="str">
        <f t="shared" si="13"/>
        <v/>
      </c>
      <c r="O112" s="326" t="str">
        <f t="shared" si="14"/>
        <v/>
      </c>
      <c r="P112" s="326" t="str">
        <f t="shared" si="15"/>
        <v/>
      </c>
      <c r="Q112" s="326" t="str">
        <f t="shared" si="16"/>
        <v/>
      </c>
      <c r="R112" s="326" t="str">
        <f t="shared" si="17"/>
        <v/>
      </c>
      <c r="S112" s="326" t="str">
        <f t="shared" si="18"/>
        <v/>
      </c>
      <c r="T112" s="326" t="str">
        <f t="shared" si="19"/>
        <v/>
      </c>
      <c r="U112" s="326" t="str">
        <f t="shared" si="20"/>
        <v/>
      </c>
      <c r="V112" s="326" t="str">
        <f t="shared" si="21"/>
        <v/>
      </c>
      <c r="W112" s="326" t="str">
        <f t="shared" si="22"/>
        <v/>
      </c>
      <c r="X112" s="51" t="str">
        <f t="shared" si="23"/>
        <v>INPUT / SECTION REVIEW</v>
      </c>
    </row>
    <row r="113" spans="1:24" ht="19.95" hidden="1" customHeight="1" outlineLevel="1">
      <c r="A113" s="51">
        <v>19</v>
      </c>
      <c r="B113" s="326" t="str">
        <f t="shared" si="24"/>
        <v/>
      </c>
      <c r="C113" s="326" t="str">
        <f t="shared" si="25"/>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2"/>
        <v/>
      </c>
      <c r="N113" s="326" t="str">
        <f t="shared" si="13"/>
        <v/>
      </c>
      <c r="O113" s="326" t="str">
        <f t="shared" si="14"/>
        <v/>
      </c>
      <c r="P113" s="326" t="str">
        <f t="shared" si="15"/>
        <v/>
      </c>
      <c r="Q113" s="326" t="str">
        <f t="shared" si="16"/>
        <v/>
      </c>
      <c r="R113" s="326" t="str">
        <f t="shared" si="17"/>
        <v/>
      </c>
      <c r="S113" s="326" t="str">
        <f t="shared" si="18"/>
        <v/>
      </c>
      <c r="T113" s="326" t="str">
        <f t="shared" si="19"/>
        <v/>
      </c>
      <c r="U113" s="326" t="str">
        <f t="shared" si="20"/>
        <v/>
      </c>
      <c r="V113" s="326" t="str">
        <f t="shared" si="21"/>
        <v/>
      </c>
      <c r="W113" s="326" t="str">
        <f t="shared" si="22"/>
        <v/>
      </c>
      <c r="X113" s="51" t="str">
        <f t="shared" si="23"/>
        <v>INPUT / SECTION REVIEW</v>
      </c>
    </row>
    <row r="114" spans="1:24" ht="19.95" hidden="1" customHeight="1" outlineLevel="1">
      <c r="A114" s="51">
        <v>20</v>
      </c>
      <c r="B114" s="326" t="str">
        <f t="shared" si="24"/>
        <v/>
      </c>
      <c r="C114" s="326" t="str">
        <f t="shared" si="25"/>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2"/>
        <v/>
      </c>
      <c r="N114" s="326" t="str">
        <f t="shared" si="13"/>
        <v/>
      </c>
      <c r="O114" s="326" t="str">
        <f t="shared" si="14"/>
        <v/>
      </c>
      <c r="P114" s="326" t="str">
        <f t="shared" si="15"/>
        <v/>
      </c>
      <c r="Q114" s="326" t="str">
        <f t="shared" si="16"/>
        <v/>
      </c>
      <c r="R114" s="326" t="str">
        <f t="shared" si="17"/>
        <v/>
      </c>
      <c r="S114" s="326" t="str">
        <f t="shared" si="18"/>
        <v/>
      </c>
      <c r="T114" s="326" t="str">
        <f t="shared" si="19"/>
        <v/>
      </c>
      <c r="U114" s="326" t="str">
        <f t="shared" si="20"/>
        <v/>
      </c>
      <c r="V114" s="326" t="str">
        <f t="shared" si="21"/>
        <v/>
      </c>
      <c r="W114" s="326" t="str">
        <f t="shared" si="22"/>
        <v/>
      </c>
      <c r="X114" s="51" t="str">
        <f t="shared" si="23"/>
        <v>INPUT / SECTION REVIEW</v>
      </c>
    </row>
    <row r="115" spans="1:24" ht="19.95" hidden="1" customHeight="1" outlineLevel="1">
      <c r="A115" s="51">
        <v>21</v>
      </c>
      <c r="B115" s="326" t="str">
        <f t="shared" si="24"/>
        <v/>
      </c>
      <c r="C115" s="326" t="str">
        <f t="shared" si="25"/>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2"/>
        <v/>
      </c>
      <c r="N115" s="326" t="str">
        <f t="shared" si="13"/>
        <v/>
      </c>
      <c r="O115" s="326" t="str">
        <f t="shared" si="14"/>
        <v/>
      </c>
      <c r="P115" s="326" t="str">
        <f t="shared" si="15"/>
        <v/>
      </c>
      <c r="Q115" s="326" t="str">
        <f t="shared" si="16"/>
        <v/>
      </c>
      <c r="R115" s="326" t="str">
        <f t="shared" si="17"/>
        <v/>
      </c>
      <c r="S115" s="326" t="str">
        <f t="shared" si="18"/>
        <v/>
      </c>
      <c r="T115" s="326" t="str">
        <f t="shared" si="19"/>
        <v/>
      </c>
      <c r="U115" s="326" t="str">
        <f t="shared" si="20"/>
        <v/>
      </c>
      <c r="V115" s="326" t="str">
        <f t="shared" si="21"/>
        <v/>
      </c>
      <c r="W115" s="326" t="str">
        <f t="shared" si="22"/>
        <v/>
      </c>
      <c r="X115" s="51" t="str">
        <f t="shared" si="23"/>
        <v>INPUT / SECTION REVIEW</v>
      </c>
    </row>
    <row r="116" spans="1:24" ht="19.95" hidden="1" customHeight="1" outlineLevel="1">
      <c r="A116" s="51">
        <v>22</v>
      </c>
      <c r="B116" s="326" t="str">
        <f t="shared" si="24"/>
        <v/>
      </c>
      <c r="C116" s="326" t="str">
        <f t="shared" si="25"/>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2"/>
        <v/>
      </c>
      <c r="N116" s="326" t="str">
        <f t="shared" si="13"/>
        <v/>
      </c>
      <c r="O116" s="326" t="str">
        <f t="shared" si="14"/>
        <v/>
      </c>
      <c r="P116" s="326" t="str">
        <f t="shared" si="15"/>
        <v/>
      </c>
      <c r="Q116" s="326" t="str">
        <f t="shared" si="16"/>
        <v/>
      </c>
      <c r="R116" s="326" t="str">
        <f t="shared" si="17"/>
        <v/>
      </c>
      <c r="S116" s="326" t="str">
        <f t="shared" si="18"/>
        <v/>
      </c>
      <c r="T116" s="326" t="str">
        <f t="shared" si="19"/>
        <v/>
      </c>
      <c r="U116" s="326" t="str">
        <f t="shared" si="20"/>
        <v/>
      </c>
      <c r="V116" s="326" t="str">
        <f t="shared" si="21"/>
        <v/>
      </c>
      <c r="W116" s="326" t="str">
        <f t="shared" si="22"/>
        <v/>
      </c>
      <c r="X116" s="51" t="str">
        <f t="shared" si="23"/>
        <v>INPUT / SECTION REVIEW</v>
      </c>
    </row>
    <row r="117" spans="1:24" ht="19.95" hidden="1" customHeight="1" outlineLevel="1">
      <c r="A117" s="51">
        <v>23</v>
      </c>
      <c r="B117" s="326" t="str">
        <f t="shared" si="24"/>
        <v/>
      </c>
      <c r="C117" s="326" t="str">
        <f t="shared" si="25"/>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2"/>
        <v/>
      </c>
      <c r="N117" s="326" t="str">
        <f t="shared" si="13"/>
        <v/>
      </c>
      <c r="O117" s="326" t="str">
        <f t="shared" si="14"/>
        <v/>
      </c>
      <c r="P117" s="326" t="str">
        <f t="shared" si="15"/>
        <v/>
      </c>
      <c r="Q117" s="326" t="str">
        <f t="shared" si="16"/>
        <v/>
      </c>
      <c r="R117" s="326" t="str">
        <f t="shared" si="17"/>
        <v/>
      </c>
      <c r="S117" s="326" t="str">
        <f t="shared" si="18"/>
        <v/>
      </c>
      <c r="T117" s="326" t="str">
        <f t="shared" si="19"/>
        <v/>
      </c>
      <c r="U117" s="326" t="str">
        <f t="shared" si="20"/>
        <v/>
      </c>
      <c r="V117" s="326" t="str">
        <f t="shared" si="21"/>
        <v/>
      </c>
      <c r="W117" s="326" t="str">
        <f t="shared" si="22"/>
        <v/>
      </c>
      <c r="X117" s="51" t="str">
        <f t="shared" si="23"/>
        <v>INPUT / SECTION REVIEW</v>
      </c>
    </row>
    <row r="118" spans="1:24" ht="19.95" hidden="1" customHeight="1" outlineLevel="1">
      <c r="A118" s="51">
        <v>24</v>
      </c>
      <c r="B118" s="326" t="str">
        <f t="shared" si="24"/>
        <v/>
      </c>
      <c r="C118" s="326" t="str">
        <f t="shared" si="25"/>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2"/>
        <v/>
      </c>
      <c r="N118" s="326" t="str">
        <f t="shared" si="13"/>
        <v/>
      </c>
      <c r="O118" s="326" t="str">
        <f t="shared" si="14"/>
        <v/>
      </c>
      <c r="P118" s="326" t="str">
        <f t="shared" si="15"/>
        <v/>
      </c>
      <c r="Q118" s="326" t="str">
        <f t="shared" si="16"/>
        <v/>
      </c>
      <c r="R118" s="326" t="str">
        <f t="shared" si="17"/>
        <v/>
      </c>
      <c r="S118" s="326" t="str">
        <f t="shared" si="18"/>
        <v/>
      </c>
      <c r="T118" s="326" t="str">
        <f t="shared" si="19"/>
        <v/>
      </c>
      <c r="U118" s="326" t="str">
        <f t="shared" si="20"/>
        <v/>
      </c>
      <c r="V118" s="326" t="str">
        <f t="shared" si="21"/>
        <v/>
      </c>
      <c r="W118" s="326" t="str">
        <f t="shared" si="22"/>
        <v/>
      </c>
      <c r="X118" s="51" t="str">
        <f t="shared" si="23"/>
        <v>INPUT / SECTION REVIEW</v>
      </c>
    </row>
    <row r="119" spans="1:24" ht="19.95" hidden="1" customHeight="1" outlineLevel="1">
      <c r="A119" s="51">
        <v>25</v>
      </c>
      <c r="B119" s="326" t="str">
        <f t="shared" si="24"/>
        <v/>
      </c>
      <c r="C119" s="326" t="str">
        <f t="shared" si="25"/>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2"/>
        <v/>
      </c>
      <c r="N119" s="326" t="str">
        <f t="shared" si="13"/>
        <v/>
      </c>
      <c r="O119" s="326" t="str">
        <f t="shared" si="14"/>
        <v/>
      </c>
      <c r="P119" s="326" t="str">
        <f t="shared" si="15"/>
        <v/>
      </c>
      <c r="Q119" s="326" t="str">
        <f t="shared" si="16"/>
        <v/>
      </c>
      <c r="R119" s="326" t="str">
        <f t="shared" si="17"/>
        <v/>
      </c>
      <c r="S119" s="326" t="str">
        <f t="shared" si="18"/>
        <v/>
      </c>
      <c r="T119" s="326" t="str">
        <f t="shared" si="19"/>
        <v/>
      </c>
      <c r="U119" s="326" t="str">
        <f t="shared" si="20"/>
        <v/>
      </c>
      <c r="V119" s="326" t="str">
        <f t="shared" si="21"/>
        <v/>
      </c>
      <c r="W119" s="326" t="str">
        <f t="shared" si="22"/>
        <v/>
      </c>
      <c r="X119" s="51" t="str">
        <f t="shared" si="23"/>
        <v>INPUT / SECTION REVIEW</v>
      </c>
    </row>
    <row r="120" spans="1:24" ht="19.95" hidden="1" customHeight="1" outlineLevel="1">
      <c r="A120" s="51">
        <v>26</v>
      </c>
      <c r="B120" s="326" t="str">
        <f t="shared" si="24"/>
        <v/>
      </c>
      <c r="C120" s="326" t="str">
        <f t="shared" si="25"/>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2"/>
        <v/>
      </c>
      <c r="N120" s="326" t="str">
        <f t="shared" si="13"/>
        <v/>
      </c>
      <c r="O120" s="326" t="str">
        <f t="shared" si="14"/>
        <v/>
      </c>
      <c r="P120" s="326" t="str">
        <f t="shared" si="15"/>
        <v/>
      </c>
      <c r="Q120" s="326" t="str">
        <f t="shared" si="16"/>
        <v/>
      </c>
      <c r="R120" s="326" t="str">
        <f t="shared" si="17"/>
        <v/>
      </c>
      <c r="S120" s="326" t="str">
        <f t="shared" si="18"/>
        <v/>
      </c>
      <c r="T120" s="326" t="str">
        <f t="shared" si="19"/>
        <v/>
      </c>
      <c r="U120" s="326" t="str">
        <f t="shared" si="20"/>
        <v/>
      </c>
      <c r="V120" s="326" t="str">
        <f t="shared" si="21"/>
        <v/>
      </c>
      <c r="W120" s="326" t="str">
        <f t="shared" si="22"/>
        <v/>
      </c>
      <c r="X120" s="51" t="str">
        <f t="shared" si="23"/>
        <v>INPUT / SECTION REVIEW</v>
      </c>
    </row>
    <row r="121" spans="1:24" ht="19.95" hidden="1" customHeight="1" outlineLevel="1">
      <c r="A121" s="51">
        <v>27</v>
      </c>
      <c r="B121" s="326" t="str">
        <f t="shared" si="24"/>
        <v/>
      </c>
      <c r="C121" s="326" t="str">
        <f t="shared" si="25"/>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2"/>
        <v/>
      </c>
      <c r="N121" s="326" t="str">
        <f t="shared" si="13"/>
        <v/>
      </c>
      <c r="O121" s="326" t="str">
        <f t="shared" si="14"/>
        <v/>
      </c>
      <c r="P121" s="326" t="str">
        <f t="shared" si="15"/>
        <v/>
      </c>
      <c r="Q121" s="326" t="str">
        <f t="shared" si="16"/>
        <v/>
      </c>
      <c r="R121" s="326" t="str">
        <f t="shared" si="17"/>
        <v/>
      </c>
      <c r="S121" s="326" t="str">
        <f t="shared" si="18"/>
        <v/>
      </c>
      <c r="T121" s="326" t="str">
        <f t="shared" si="19"/>
        <v/>
      </c>
      <c r="U121" s="326" t="str">
        <f t="shared" si="20"/>
        <v/>
      </c>
      <c r="V121" s="326" t="str">
        <f t="shared" si="21"/>
        <v/>
      </c>
      <c r="W121" s="326" t="str">
        <f t="shared" si="22"/>
        <v/>
      </c>
      <c r="X121" s="51" t="str">
        <f t="shared" si="23"/>
        <v>INPUT / SECTION REVIEW</v>
      </c>
    </row>
    <row r="122" spans="1:24" ht="19.95" hidden="1" customHeight="1" outlineLevel="1">
      <c r="A122" s="51">
        <v>28</v>
      </c>
      <c r="B122" s="326" t="str">
        <f t="shared" si="24"/>
        <v/>
      </c>
      <c r="C122" s="326" t="str">
        <f t="shared" si="25"/>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2"/>
        <v/>
      </c>
      <c r="N122" s="326" t="str">
        <f t="shared" si="13"/>
        <v/>
      </c>
      <c r="O122" s="326" t="str">
        <f t="shared" si="14"/>
        <v/>
      </c>
      <c r="P122" s="326" t="str">
        <f t="shared" si="15"/>
        <v/>
      </c>
      <c r="Q122" s="326" t="str">
        <f t="shared" si="16"/>
        <v/>
      </c>
      <c r="R122" s="326" t="str">
        <f t="shared" si="17"/>
        <v/>
      </c>
      <c r="S122" s="326" t="str">
        <f t="shared" si="18"/>
        <v/>
      </c>
      <c r="T122" s="326" t="str">
        <f t="shared" si="19"/>
        <v/>
      </c>
      <c r="U122" s="326" t="str">
        <f t="shared" si="20"/>
        <v/>
      </c>
      <c r="V122" s="326" t="str">
        <f t="shared" si="21"/>
        <v/>
      </c>
      <c r="W122" s="326" t="str">
        <f t="shared" si="22"/>
        <v/>
      </c>
      <c r="X122" s="51" t="str">
        <f t="shared" si="23"/>
        <v>INPUT / SECTION REVIEW</v>
      </c>
    </row>
    <row r="123" spans="1:24" ht="19.95" hidden="1" customHeight="1" outlineLevel="1">
      <c r="A123" s="51">
        <v>29</v>
      </c>
      <c r="B123" s="326" t="str">
        <f t="shared" si="24"/>
        <v/>
      </c>
      <c r="C123" s="326" t="str">
        <f t="shared" si="25"/>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2"/>
        <v/>
      </c>
      <c r="N123" s="326" t="str">
        <f t="shared" si="13"/>
        <v/>
      </c>
      <c r="O123" s="326" t="str">
        <f t="shared" si="14"/>
        <v/>
      </c>
      <c r="P123" s="326" t="str">
        <f t="shared" si="15"/>
        <v/>
      </c>
      <c r="Q123" s="326" t="str">
        <f t="shared" si="16"/>
        <v/>
      </c>
      <c r="R123" s="326" t="str">
        <f t="shared" si="17"/>
        <v/>
      </c>
      <c r="S123" s="326" t="str">
        <f t="shared" si="18"/>
        <v/>
      </c>
      <c r="T123" s="326" t="str">
        <f t="shared" si="19"/>
        <v/>
      </c>
      <c r="U123" s="326" t="str">
        <f t="shared" si="20"/>
        <v/>
      </c>
      <c r="V123" s="326" t="str">
        <f t="shared" si="21"/>
        <v/>
      </c>
      <c r="W123" s="326" t="str">
        <f t="shared" si="22"/>
        <v/>
      </c>
      <c r="X123" s="51" t="str">
        <f t="shared" si="23"/>
        <v>INPUT / SECTION REVIEW</v>
      </c>
    </row>
    <row r="124" spans="1:24" ht="19.95" hidden="1" customHeight="1" outlineLevel="1">
      <c r="A124" s="51">
        <v>30</v>
      </c>
      <c r="B124" s="326" t="str">
        <f t="shared" si="24"/>
        <v/>
      </c>
      <c r="C124" s="326" t="str">
        <f t="shared" si="25"/>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2"/>
        <v/>
      </c>
      <c r="N124" s="326" t="str">
        <f t="shared" si="13"/>
        <v/>
      </c>
      <c r="O124" s="326" t="str">
        <f t="shared" si="14"/>
        <v/>
      </c>
      <c r="P124" s="326" t="str">
        <f t="shared" si="15"/>
        <v/>
      </c>
      <c r="Q124" s="326" t="str">
        <f t="shared" si="16"/>
        <v/>
      </c>
      <c r="R124" s="326" t="str">
        <f t="shared" si="17"/>
        <v/>
      </c>
      <c r="S124" s="326" t="str">
        <f t="shared" si="18"/>
        <v/>
      </c>
      <c r="T124" s="326" t="str">
        <f t="shared" si="19"/>
        <v/>
      </c>
      <c r="U124" s="326" t="str">
        <f t="shared" si="20"/>
        <v/>
      </c>
      <c r="V124" s="326" t="str">
        <f t="shared" si="21"/>
        <v/>
      </c>
      <c r="W124" s="326" t="str">
        <f t="shared" si="22"/>
        <v/>
      </c>
      <c r="X124" s="51" t="str">
        <f t="shared" si="23"/>
        <v>INPUT / SECTION REVIEW</v>
      </c>
    </row>
    <row r="125" spans="1:24" ht="19.95" hidden="1" customHeight="1" outlineLevel="1">
      <c r="A125" s="51">
        <v>31</v>
      </c>
      <c r="B125" s="326" t="str">
        <f t="shared" si="24"/>
        <v/>
      </c>
      <c r="C125" s="326" t="str">
        <f t="shared" si="25"/>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2"/>
        <v/>
      </c>
      <c r="N125" s="326" t="str">
        <f t="shared" si="13"/>
        <v/>
      </c>
      <c r="O125" s="326" t="str">
        <f t="shared" si="14"/>
        <v/>
      </c>
      <c r="P125" s="326" t="str">
        <f t="shared" si="15"/>
        <v/>
      </c>
      <c r="Q125" s="326" t="str">
        <f t="shared" si="16"/>
        <v/>
      </c>
      <c r="R125" s="326" t="str">
        <f t="shared" si="17"/>
        <v/>
      </c>
      <c r="S125" s="326" t="str">
        <f t="shared" si="18"/>
        <v/>
      </c>
      <c r="T125" s="326" t="str">
        <f t="shared" si="19"/>
        <v/>
      </c>
      <c r="U125" s="326" t="str">
        <f t="shared" si="20"/>
        <v/>
      </c>
      <c r="V125" s="326" t="str">
        <f t="shared" si="21"/>
        <v/>
      </c>
      <c r="W125" s="326" t="str">
        <f t="shared" si="22"/>
        <v/>
      </c>
      <c r="X125" s="51" t="str">
        <f t="shared" si="23"/>
        <v>INPUT / SECTION REVIEW</v>
      </c>
    </row>
    <row r="126" spans="1:24" ht="19.95" hidden="1" customHeight="1" outlineLevel="1">
      <c r="A126" s="51">
        <v>32</v>
      </c>
      <c r="B126" s="326" t="str">
        <f t="shared" si="24"/>
        <v/>
      </c>
      <c r="C126" s="326" t="str">
        <f t="shared" si="25"/>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2"/>
        <v/>
      </c>
      <c r="N126" s="326" t="str">
        <f t="shared" si="13"/>
        <v/>
      </c>
      <c r="O126" s="326" t="str">
        <f t="shared" si="14"/>
        <v/>
      </c>
      <c r="P126" s="326" t="str">
        <f t="shared" si="15"/>
        <v/>
      </c>
      <c r="Q126" s="326" t="str">
        <f t="shared" si="16"/>
        <v/>
      </c>
      <c r="R126" s="326" t="str">
        <f t="shared" si="17"/>
        <v/>
      </c>
      <c r="S126" s="326" t="str">
        <f t="shared" si="18"/>
        <v/>
      </c>
      <c r="T126" s="326" t="str">
        <f t="shared" si="19"/>
        <v/>
      </c>
      <c r="U126" s="326" t="str">
        <f t="shared" si="20"/>
        <v/>
      </c>
      <c r="V126" s="326" t="str">
        <f t="shared" si="21"/>
        <v/>
      </c>
      <c r="W126" s="326" t="str">
        <f t="shared" si="22"/>
        <v/>
      </c>
      <c r="X126" s="51" t="str">
        <f t="shared" si="23"/>
        <v>INPUT / SECTION REVIEW</v>
      </c>
    </row>
    <row r="127" spans="1:24" ht="19.95" hidden="1" customHeight="1" outlineLevel="1">
      <c r="A127" s="51">
        <v>33</v>
      </c>
      <c r="B127" s="326" t="str">
        <f t="shared" si="24"/>
        <v/>
      </c>
      <c r="C127" s="326" t="str">
        <f t="shared" si="25"/>
        <v/>
      </c>
      <c r="D127" s="326" t="str">
        <f t="shared" ref="D127:D154" si="26">IF(AND(ISNUMBER(B127),B127&gt;0),$C$37*10^6/($C$8*B127^2*$C$10),"")</f>
        <v/>
      </c>
      <c r="E127" s="326" t="str">
        <f t="shared" ref="E127:E154" si="27">IF(ISNUMBER(D127),MIN(0.95*B127,B127*(0.5+SQRT(0.25-MIN(D127,$C$40)/0.9))),"")</f>
        <v/>
      </c>
      <c r="F127" s="326" t="str">
        <f t="shared" ref="F127:F154" si="28">IF(ISNUMBER(E127),(B127-E127)/IF($C$10&lt;=45,0.45,0.4),"")</f>
        <v/>
      </c>
      <c r="G127" s="326" t="str">
        <f t="shared" ref="G127:G154" si="29">IF(ISNUMBER(F127),IF(D127&lt;=$C$40,0,MAX(0,MIN(0.87*$C$11,700*(1-C127/F127)))),"")</f>
        <v/>
      </c>
      <c r="H127" s="326" t="str">
        <f t="shared" ref="H127:H154" si="30">IF(ISNUMBER(G127),IF(D127&lt;=$C$40,0,IF(OR(G127&lt;=0,B127&lt;=C127),"SECTION TOO SMALL",(D127-$C$40)*$C$10*$C$8*B127^2/(G127*(B127-C127)))),"")</f>
        <v/>
      </c>
      <c r="I127" s="326" t="str">
        <f t="shared" ref="I127:I154" si="31">IF(ISNUMBER(H127),MAX(0.0013*$C$8*$C$9,MIN(D127,$C$40)*$C$10*$C$8*B127^2/(0.87*$C$11*E127)+H127*G127/(0.87*$C$11)),"")</f>
        <v/>
      </c>
      <c r="J127" s="326" t="str">
        <f t="shared" ref="J127:J154" si="32">IF(ISNUMBER(I127),ROUNDUP(I127/(PI()*$C$15^2/4),0),"")</f>
        <v/>
      </c>
      <c r="K127" s="326" t="str">
        <f t="shared" ref="K127:K154" si="33">IF(ISNUMBER(H127),ROUNDUP(H127/(PI()*$C$15^2/4),0),"")</f>
        <v/>
      </c>
      <c r="L127" s="326" t="str">
        <f t="shared" ref="L127:L154" si="34">IF(ISNUMBER(J127),ROUNDUP(J127/$C$17,0),"")</f>
        <v/>
      </c>
      <c r="M127" s="326" t="str">
        <f t="shared" ref="M127:M154" si="35">IF(ISNUMBER(K127),ROUNDUP(K127/$C$17,0),"")</f>
        <v/>
      </c>
      <c r="N127" s="326" t="str">
        <f t="shared" ref="N127:N154" si="36">IF(ISNUMBER(J127),INT(J127/$C$17),"")</f>
        <v/>
      </c>
      <c r="O127" s="326" t="str">
        <f t="shared" ref="O127:O154" si="37">IF(ISNUMBER(J127),MOD(J127,$C$17),"")</f>
        <v/>
      </c>
      <c r="P127" s="326" t="str">
        <f t="shared" ref="P127:P154" si="38">IF(ISNUMBER(J127),$C$13+$C$14+$C$15/2+($C$15+$C$16)*(L127-1)/2,"")</f>
        <v/>
      </c>
      <c r="Q127" s="326" t="str">
        <f t="shared" ref="Q127:Q154" si="39">IF(ISNUMBER(K127),INT(K127/$C$17),"")</f>
        <v/>
      </c>
      <c r="R127" s="326" t="str">
        <f t="shared" ref="R127:R154" si="40">IF(ISNUMBER(K127),MOD(K127,$C$17),"")</f>
        <v/>
      </c>
      <c r="S127" s="326" t="str">
        <f t="shared" ref="S127:S154" si="41">IF(ISNUMBER(K127),$C$13+$C$14+$C$15/2+IF(K127=0,0,2*$C$15*(M127-1)/2),"")</f>
        <v/>
      </c>
      <c r="T127" s="326" t="str">
        <f t="shared" ref="T127:T154" si="42">IF(ISNUMBER(P127),$C$9-P127,"")</f>
        <v/>
      </c>
      <c r="U127" s="326" t="str">
        <f t="shared" ref="U127:U154" si="43">IF(ISNUMBER(S127),S127,"")</f>
        <v/>
      </c>
      <c r="V127" s="326" t="str">
        <f t="shared" ref="V127:V154" si="44">IF(ISNUMBER(L127),$C$9-2*($C$13+$C$14)-$C$15-(L127-1)*($C$15+$C$16)-IF(M127=0,0,$C$15+(M127-1)*2*$C$15),"")</f>
        <v/>
      </c>
      <c r="W127" s="326" t="str">
        <f t="shared" ref="W127:W154" si="45">IF(AND(ISNUMBER(T127),ISNUMBER(U127)),ABS(T127-B127)+ABS(U127-C127),"")</f>
        <v/>
      </c>
      <c r="X127" s="51" t="str">
        <f t="shared" ref="X127:X154" si="46">IF(NOT(ISNUMBER(W127)),"INPUT / SECTION REVIEW",IF(OR(T127&lt;=0,V127&lt;IF(M127=0,0,$C$16)),"BARS DO NOT FIT",IF(W127&lt;0.001,"CONVERGED","ITERATING")))</f>
        <v>INPUT / SECTION REVIEW</v>
      </c>
    </row>
    <row r="128" spans="1:24" ht="19.95" hidden="1" customHeight="1" outlineLevel="1">
      <c r="A128" s="51">
        <v>34</v>
      </c>
      <c r="B128" s="326" t="str">
        <f t="shared" ref="B128:B154" si="47">IF(ISNUMBER(T127),T127,"")</f>
        <v/>
      </c>
      <c r="C128" s="326" t="str">
        <f t="shared" ref="C128:C154" si="48">IF(ISNUMBER(U127),U127,"")</f>
        <v/>
      </c>
      <c r="D128" s="326" t="str">
        <f t="shared" si="26"/>
        <v/>
      </c>
      <c r="E128" s="326" t="str">
        <f t="shared" si="27"/>
        <v/>
      </c>
      <c r="F128" s="326" t="str">
        <f t="shared" si="28"/>
        <v/>
      </c>
      <c r="G128" s="326" t="str">
        <f t="shared" si="29"/>
        <v/>
      </c>
      <c r="H128" s="326" t="str">
        <f t="shared" si="30"/>
        <v/>
      </c>
      <c r="I128" s="326" t="str">
        <f t="shared" si="31"/>
        <v/>
      </c>
      <c r="J128" s="326" t="str">
        <f t="shared" si="32"/>
        <v/>
      </c>
      <c r="K128" s="326" t="str">
        <f t="shared" si="33"/>
        <v/>
      </c>
      <c r="L128" s="326" t="str">
        <f t="shared" si="34"/>
        <v/>
      </c>
      <c r="M128" s="326" t="str">
        <f t="shared" si="35"/>
        <v/>
      </c>
      <c r="N128" s="326" t="str">
        <f t="shared" si="36"/>
        <v/>
      </c>
      <c r="O128" s="326" t="str">
        <f t="shared" si="37"/>
        <v/>
      </c>
      <c r="P128" s="326" t="str">
        <f t="shared" si="38"/>
        <v/>
      </c>
      <c r="Q128" s="326" t="str">
        <f t="shared" si="39"/>
        <v/>
      </c>
      <c r="R128" s="326" t="str">
        <f t="shared" si="40"/>
        <v/>
      </c>
      <c r="S128" s="326" t="str">
        <f t="shared" si="41"/>
        <v/>
      </c>
      <c r="T128" s="326" t="str">
        <f t="shared" si="42"/>
        <v/>
      </c>
      <c r="U128" s="326" t="str">
        <f t="shared" si="43"/>
        <v/>
      </c>
      <c r="V128" s="326" t="str">
        <f t="shared" si="44"/>
        <v/>
      </c>
      <c r="W128" s="326" t="str">
        <f t="shared" si="45"/>
        <v/>
      </c>
      <c r="X128" s="51" t="str">
        <f t="shared" si="46"/>
        <v>INPUT / SECTION REVIEW</v>
      </c>
    </row>
    <row r="129" spans="1:24" ht="19.95" hidden="1" customHeight="1" outlineLevel="1">
      <c r="A129" s="51">
        <v>35</v>
      </c>
      <c r="B129" s="326" t="str">
        <f t="shared" si="47"/>
        <v/>
      </c>
      <c r="C129" s="326" t="str">
        <f t="shared" si="48"/>
        <v/>
      </c>
      <c r="D129" s="326" t="str">
        <f t="shared" si="26"/>
        <v/>
      </c>
      <c r="E129" s="326" t="str">
        <f t="shared" si="27"/>
        <v/>
      </c>
      <c r="F129" s="326" t="str">
        <f t="shared" si="28"/>
        <v/>
      </c>
      <c r="G129" s="326" t="str">
        <f t="shared" si="29"/>
        <v/>
      </c>
      <c r="H129" s="326" t="str">
        <f t="shared" si="30"/>
        <v/>
      </c>
      <c r="I129" s="326" t="str">
        <f t="shared" si="31"/>
        <v/>
      </c>
      <c r="J129" s="326" t="str">
        <f t="shared" si="32"/>
        <v/>
      </c>
      <c r="K129" s="326" t="str">
        <f t="shared" si="33"/>
        <v/>
      </c>
      <c r="L129" s="326" t="str">
        <f t="shared" si="34"/>
        <v/>
      </c>
      <c r="M129" s="326" t="str">
        <f t="shared" si="35"/>
        <v/>
      </c>
      <c r="N129" s="326" t="str">
        <f t="shared" si="36"/>
        <v/>
      </c>
      <c r="O129" s="326" t="str">
        <f t="shared" si="37"/>
        <v/>
      </c>
      <c r="P129" s="326" t="str">
        <f t="shared" si="38"/>
        <v/>
      </c>
      <c r="Q129" s="326" t="str">
        <f t="shared" si="39"/>
        <v/>
      </c>
      <c r="R129" s="326" t="str">
        <f t="shared" si="40"/>
        <v/>
      </c>
      <c r="S129" s="326" t="str">
        <f t="shared" si="41"/>
        <v/>
      </c>
      <c r="T129" s="326" t="str">
        <f t="shared" si="42"/>
        <v/>
      </c>
      <c r="U129" s="326" t="str">
        <f t="shared" si="43"/>
        <v/>
      </c>
      <c r="V129" s="326" t="str">
        <f t="shared" si="44"/>
        <v/>
      </c>
      <c r="W129" s="326" t="str">
        <f t="shared" si="45"/>
        <v/>
      </c>
      <c r="X129" s="51" t="str">
        <f t="shared" si="46"/>
        <v>INPUT / SECTION REVIEW</v>
      </c>
    </row>
    <row r="130" spans="1:24" ht="19.95" hidden="1" customHeight="1" outlineLevel="1">
      <c r="A130" s="51">
        <v>36</v>
      </c>
      <c r="B130" s="326" t="str">
        <f t="shared" si="47"/>
        <v/>
      </c>
      <c r="C130" s="326" t="str">
        <f t="shared" si="48"/>
        <v/>
      </c>
      <c r="D130" s="326" t="str">
        <f t="shared" si="26"/>
        <v/>
      </c>
      <c r="E130" s="326" t="str">
        <f t="shared" si="27"/>
        <v/>
      </c>
      <c r="F130" s="326" t="str">
        <f t="shared" si="28"/>
        <v/>
      </c>
      <c r="G130" s="326" t="str">
        <f t="shared" si="29"/>
        <v/>
      </c>
      <c r="H130" s="326" t="str">
        <f t="shared" si="30"/>
        <v/>
      </c>
      <c r="I130" s="326" t="str">
        <f t="shared" si="31"/>
        <v/>
      </c>
      <c r="J130" s="326" t="str">
        <f t="shared" si="32"/>
        <v/>
      </c>
      <c r="K130" s="326" t="str">
        <f t="shared" si="33"/>
        <v/>
      </c>
      <c r="L130" s="326" t="str">
        <f t="shared" si="34"/>
        <v/>
      </c>
      <c r="M130" s="326" t="str">
        <f t="shared" si="35"/>
        <v/>
      </c>
      <c r="N130" s="326" t="str">
        <f t="shared" si="36"/>
        <v/>
      </c>
      <c r="O130" s="326" t="str">
        <f t="shared" si="37"/>
        <v/>
      </c>
      <c r="P130" s="326" t="str">
        <f t="shared" si="38"/>
        <v/>
      </c>
      <c r="Q130" s="326" t="str">
        <f t="shared" si="39"/>
        <v/>
      </c>
      <c r="R130" s="326" t="str">
        <f t="shared" si="40"/>
        <v/>
      </c>
      <c r="S130" s="326" t="str">
        <f t="shared" si="41"/>
        <v/>
      </c>
      <c r="T130" s="326" t="str">
        <f t="shared" si="42"/>
        <v/>
      </c>
      <c r="U130" s="326" t="str">
        <f t="shared" si="43"/>
        <v/>
      </c>
      <c r="V130" s="326" t="str">
        <f t="shared" si="44"/>
        <v/>
      </c>
      <c r="W130" s="326" t="str">
        <f t="shared" si="45"/>
        <v/>
      </c>
      <c r="X130" s="51" t="str">
        <f t="shared" si="46"/>
        <v>INPUT / SECTION REVIEW</v>
      </c>
    </row>
    <row r="131" spans="1:24" ht="19.95" hidden="1" customHeight="1" outlineLevel="1">
      <c r="A131" s="51">
        <v>37</v>
      </c>
      <c r="B131" s="326" t="str">
        <f t="shared" si="47"/>
        <v/>
      </c>
      <c r="C131" s="326" t="str">
        <f t="shared" si="48"/>
        <v/>
      </c>
      <c r="D131" s="326" t="str">
        <f t="shared" si="26"/>
        <v/>
      </c>
      <c r="E131" s="326" t="str">
        <f t="shared" si="27"/>
        <v/>
      </c>
      <c r="F131" s="326" t="str">
        <f t="shared" si="28"/>
        <v/>
      </c>
      <c r="G131" s="326" t="str">
        <f t="shared" si="29"/>
        <v/>
      </c>
      <c r="H131" s="326" t="str">
        <f t="shared" si="30"/>
        <v/>
      </c>
      <c r="I131" s="326" t="str">
        <f t="shared" si="31"/>
        <v/>
      </c>
      <c r="J131" s="326" t="str">
        <f t="shared" si="32"/>
        <v/>
      </c>
      <c r="K131" s="326" t="str">
        <f t="shared" si="33"/>
        <v/>
      </c>
      <c r="L131" s="326" t="str">
        <f t="shared" si="34"/>
        <v/>
      </c>
      <c r="M131" s="326" t="str">
        <f t="shared" si="35"/>
        <v/>
      </c>
      <c r="N131" s="326" t="str">
        <f t="shared" si="36"/>
        <v/>
      </c>
      <c r="O131" s="326" t="str">
        <f t="shared" si="37"/>
        <v/>
      </c>
      <c r="P131" s="326" t="str">
        <f t="shared" si="38"/>
        <v/>
      </c>
      <c r="Q131" s="326" t="str">
        <f t="shared" si="39"/>
        <v/>
      </c>
      <c r="R131" s="326" t="str">
        <f t="shared" si="40"/>
        <v/>
      </c>
      <c r="S131" s="326" t="str">
        <f t="shared" si="41"/>
        <v/>
      </c>
      <c r="T131" s="326" t="str">
        <f t="shared" si="42"/>
        <v/>
      </c>
      <c r="U131" s="326" t="str">
        <f t="shared" si="43"/>
        <v/>
      </c>
      <c r="V131" s="326" t="str">
        <f t="shared" si="44"/>
        <v/>
      </c>
      <c r="W131" s="326" t="str">
        <f t="shared" si="45"/>
        <v/>
      </c>
      <c r="X131" s="51" t="str">
        <f t="shared" si="46"/>
        <v>INPUT / SECTION REVIEW</v>
      </c>
    </row>
    <row r="132" spans="1:24" ht="19.95" hidden="1" customHeight="1" outlineLevel="1">
      <c r="A132" s="51">
        <v>38</v>
      </c>
      <c r="B132" s="326" t="str">
        <f t="shared" si="47"/>
        <v/>
      </c>
      <c r="C132" s="326" t="str">
        <f t="shared" si="48"/>
        <v/>
      </c>
      <c r="D132" s="326" t="str">
        <f t="shared" si="26"/>
        <v/>
      </c>
      <c r="E132" s="326" t="str">
        <f t="shared" si="27"/>
        <v/>
      </c>
      <c r="F132" s="326" t="str">
        <f t="shared" si="28"/>
        <v/>
      </c>
      <c r="G132" s="326" t="str">
        <f t="shared" si="29"/>
        <v/>
      </c>
      <c r="H132" s="326" t="str">
        <f t="shared" si="30"/>
        <v/>
      </c>
      <c r="I132" s="326" t="str">
        <f t="shared" si="31"/>
        <v/>
      </c>
      <c r="J132" s="326" t="str">
        <f t="shared" si="32"/>
        <v/>
      </c>
      <c r="K132" s="326" t="str">
        <f t="shared" si="33"/>
        <v/>
      </c>
      <c r="L132" s="326" t="str">
        <f t="shared" si="34"/>
        <v/>
      </c>
      <c r="M132" s="326" t="str">
        <f t="shared" si="35"/>
        <v/>
      </c>
      <c r="N132" s="326" t="str">
        <f t="shared" si="36"/>
        <v/>
      </c>
      <c r="O132" s="326" t="str">
        <f t="shared" si="37"/>
        <v/>
      </c>
      <c r="P132" s="326" t="str">
        <f t="shared" si="38"/>
        <v/>
      </c>
      <c r="Q132" s="326" t="str">
        <f t="shared" si="39"/>
        <v/>
      </c>
      <c r="R132" s="326" t="str">
        <f t="shared" si="40"/>
        <v/>
      </c>
      <c r="S132" s="326" t="str">
        <f t="shared" si="41"/>
        <v/>
      </c>
      <c r="T132" s="326" t="str">
        <f t="shared" si="42"/>
        <v/>
      </c>
      <c r="U132" s="326" t="str">
        <f t="shared" si="43"/>
        <v/>
      </c>
      <c r="V132" s="326" t="str">
        <f t="shared" si="44"/>
        <v/>
      </c>
      <c r="W132" s="326" t="str">
        <f t="shared" si="45"/>
        <v/>
      </c>
      <c r="X132" s="51" t="str">
        <f t="shared" si="46"/>
        <v>INPUT / SECTION REVIEW</v>
      </c>
    </row>
    <row r="133" spans="1:24" ht="19.95" hidden="1" customHeight="1" outlineLevel="1">
      <c r="A133" s="51">
        <v>39</v>
      </c>
      <c r="B133" s="326" t="str">
        <f t="shared" si="47"/>
        <v/>
      </c>
      <c r="C133" s="326" t="str">
        <f t="shared" si="48"/>
        <v/>
      </c>
      <c r="D133" s="326" t="str">
        <f t="shared" si="26"/>
        <v/>
      </c>
      <c r="E133" s="326" t="str">
        <f t="shared" si="27"/>
        <v/>
      </c>
      <c r="F133" s="326" t="str">
        <f t="shared" si="28"/>
        <v/>
      </c>
      <c r="G133" s="326" t="str">
        <f t="shared" si="29"/>
        <v/>
      </c>
      <c r="H133" s="326" t="str">
        <f t="shared" si="30"/>
        <v/>
      </c>
      <c r="I133" s="326" t="str">
        <f t="shared" si="31"/>
        <v/>
      </c>
      <c r="J133" s="326" t="str">
        <f t="shared" si="32"/>
        <v/>
      </c>
      <c r="K133" s="326" t="str">
        <f t="shared" si="33"/>
        <v/>
      </c>
      <c r="L133" s="326" t="str">
        <f t="shared" si="34"/>
        <v/>
      </c>
      <c r="M133" s="326" t="str">
        <f t="shared" si="35"/>
        <v/>
      </c>
      <c r="N133" s="326" t="str">
        <f t="shared" si="36"/>
        <v/>
      </c>
      <c r="O133" s="326" t="str">
        <f t="shared" si="37"/>
        <v/>
      </c>
      <c r="P133" s="326" t="str">
        <f t="shared" si="38"/>
        <v/>
      </c>
      <c r="Q133" s="326" t="str">
        <f t="shared" si="39"/>
        <v/>
      </c>
      <c r="R133" s="326" t="str">
        <f t="shared" si="40"/>
        <v/>
      </c>
      <c r="S133" s="326" t="str">
        <f t="shared" si="41"/>
        <v/>
      </c>
      <c r="T133" s="326" t="str">
        <f t="shared" si="42"/>
        <v/>
      </c>
      <c r="U133" s="326" t="str">
        <f t="shared" si="43"/>
        <v/>
      </c>
      <c r="V133" s="326" t="str">
        <f t="shared" si="44"/>
        <v/>
      </c>
      <c r="W133" s="326" t="str">
        <f t="shared" si="45"/>
        <v/>
      </c>
      <c r="X133" s="51" t="str">
        <f t="shared" si="46"/>
        <v>INPUT / SECTION REVIEW</v>
      </c>
    </row>
    <row r="134" spans="1:24" ht="19.95" hidden="1" customHeight="1" outlineLevel="1">
      <c r="A134" s="51">
        <v>40</v>
      </c>
      <c r="B134" s="326" t="str">
        <f t="shared" si="47"/>
        <v/>
      </c>
      <c r="C134" s="326" t="str">
        <f t="shared" si="48"/>
        <v/>
      </c>
      <c r="D134" s="326" t="str">
        <f t="shared" si="26"/>
        <v/>
      </c>
      <c r="E134" s="326" t="str">
        <f t="shared" si="27"/>
        <v/>
      </c>
      <c r="F134" s="326" t="str">
        <f t="shared" si="28"/>
        <v/>
      </c>
      <c r="G134" s="326" t="str">
        <f t="shared" si="29"/>
        <v/>
      </c>
      <c r="H134" s="326" t="str">
        <f t="shared" si="30"/>
        <v/>
      </c>
      <c r="I134" s="326" t="str">
        <f t="shared" si="31"/>
        <v/>
      </c>
      <c r="J134" s="326" t="str">
        <f t="shared" si="32"/>
        <v/>
      </c>
      <c r="K134" s="326" t="str">
        <f t="shared" si="33"/>
        <v/>
      </c>
      <c r="L134" s="326" t="str">
        <f t="shared" si="34"/>
        <v/>
      </c>
      <c r="M134" s="326" t="str">
        <f t="shared" si="35"/>
        <v/>
      </c>
      <c r="N134" s="326" t="str">
        <f t="shared" si="36"/>
        <v/>
      </c>
      <c r="O134" s="326" t="str">
        <f t="shared" si="37"/>
        <v/>
      </c>
      <c r="P134" s="326" t="str">
        <f t="shared" si="38"/>
        <v/>
      </c>
      <c r="Q134" s="326" t="str">
        <f t="shared" si="39"/>
        <v/>
      </c>
      <c r="R134" s="326" t="str">
        <f t="shared" si="40"/>
        <v/>
      </c>
      <c r="S134" s="326" t="str">
        <f t="shared" si="41"/>
        <v/>
      </c>
      <c r="T134" s="326" t="str">
        <f t="shared" si="42"/>
        <v/>
      </c>
      <c r="U134" s="326" t="str">
        <f t="shared" si="43"/>
        <v/>
      </c>
      <c r="V134" s="326" t="str">
        <f t="shared" si="44"/>
        <v/>
      </c>
      <c r="W134" s="326" t="str">
        <f t="shared" si="45"/>
        <v/>
      </c>
      <c r="X134" s="51" t="str">
        <f t="shared" si="46"/>
        <v>INPUT / SECTION REVIEW</v>
      </c>
    </row>
    <row r="135" spans="1:24" ht="19.95" hidden="1" customHeight="1" outlineLevel="1">
      <c r="A135" s="51">
        <v>41</v>
      </c>
      <c r="B135" s="326" t="str">
        <f t="shared" si="47"/>
        <v/>
      </c>
      <c r="C135" s="326" t="str">
        <f t="shared" si="48"/>
        <v/>
      </c>
      <c r="D135" s="326" t="str">
        <f t="shared" si="26"/>
        <v/>
      </c>
      <c r="E135" s="326" t="str">
        <f t="shared" si="27"/>
        <v/>
      </c>
      <c r="F135" s="326" t="str">
        <f t="shared" si="28"/>
        <v/>
      </c>
      <c r="G135" s="326" t="str">
        <f t="shared" si="29"/>
        <v/>
      </c>
      <c r="H135" s="326" t="str">
        <f t="shared" si="30"/>
        <v/>
      </c>
      <c r="I135" s="326" t="str">
        <f t="shared" si="31"/>
        <v/>
      </c>
      <c r="J135" s="326" t="str">
        <f t="shared" si="32"/>
        <v/>
      </c>
      <c r="K135" s="326" t="str">
        <f t="shared" si="33"/>
        <v/>
      </c>
      <c r="L135" s="326" t="str">
        <f t="shared" si="34"/>
        <v/>
      </c>
      <c r="M135" s="326" t="str">
        <f t="shared" si="35"/>
        <v/>
      </c>
      <c r="N135" s="326" t="str">
        <f t="shared" si="36"/>
        <v/>
      </c>
      <c r="O135" s="326" t="str">
        <f t="shared" si="37"/>
        <v/>
      </c>
      <c r="P135" s="326" t="str">
        <f t="shared" si="38"/>
        <v/>
      </c>
      <c r="Q135" s="326" t="str">
        <f t="shared" si="39"/>
        <v/>
      </c>
      <c r="R135" s="326" t="str">
        <f t="shared" si="40"/>
        <v/>
      </c>
      <c r="S135" s="326" t="str">
        <f t="shared" si="41"/>
        <v/>
      </c>
      <c r="T135" s="326" t="str">
        <f t="shared" si="42"/>
        <v/>
      </c>
      <c r="U135" s="326" t="str">
        <f t="shared" si="43"/>
        <v/>
      </c>
      <c r="V135" s="326" t="str">
        <f t="shared" si="44"/>
        <v/>
      </c>
      <c r="W135" s="326" t="str">
        <f t="shared" si="45"/>
        <v/>
      </c>
      <c r="X135" s="51" t="str">
        <f t="shared" si="46"/>
        <v>INPUT / SECTION REVIEW</v>
      </c>
    </row>
    <row r="136" spans="1:24" ht="19.95" hidden="1" customHeight="1" outlineLevel="1">
      <c r="A136" s="51">
        <v>42</v>
      </c>
      <c r="B136" s="326" t="str">
        <f t="shared" si="47"/>
        <v/>
      </c>
      <c r="C136" s="326" t="str">
        <f t="shared" si="48"/>
        <v/>
      </c>
      <c r="D136" s="326" t="str">
        <f t="shared" si="26"/>
        <v/>
      </c>
      <c r="E136" s="326" t="str">
        <f t="shared" si="27"/>
        <v/>
      </c>
      <c r="F136" s="326" t="str">
        <f t="shared" si="28"/>
        <v/>
      </c>
      <c r="G136" s="326" t="str">
        <f t="shared" si="29"/>
        <v/>
      </c>
      <c r="H136" s="326" t="str">
        <f t="shared" si="30"/>
        <v/>
      </c>
      <c r="I136" s="326" t="str">
        <f t="shared" si="31"/>
        <v/>
      </c>
      <c r="J136" s="326" t="str">
        <f t="shared" si="32"/>
        <v/>
      </c>
      <c r="K136" s="326" t="str">
        <f t="shared" si="33"/>
        <v/>
      </c>
      <c r="L136" s="326" t="str">
        <f t="shared" si="34"/>
        <v/>
      </c>
      <c r="M136" s="326" t="str">
        <f t="shared" si="35"/>
        <v/>
      </c>
      <c r="N136" s="326" t="str">
        <f t="shared" si="36"/>
        <v/>
      </c>
      <c r="O136" s="326" t="str">
        <f t="shared" si="37"/>
        <v/>
      </c>
      <c r="P136" s="326" t="str">
        <f t="shared" si="38"/>
        <v/>
      </c>
      <c r="Q136" s="326" t="str">
        <f t="shared" si="39"/>
        <v/>
      </c>
      <c r="R136" s="326" t="str">
        <f t="shared" si="40"/>
        <v/>
      </c>
      <c r="S136" s="326" t="str">
        <f t="shared" si="41"/>
        <v/>
      </c>
      <c r="T136" s="326" t="str">
        <f t="shared" si="42"/>
        <v/>
      </c>
      <c r="U136" s="326" t="str">
        <f t="shared" si="43"/>
        <v/>
      </c>
      <c r="V136" s="326" t="str">
        <f t="shared" si="44"/>
        <v/>
      </c>
      <c r="W136" s="326" t="str">
        <f t="shared" si="45"/>
        <v/>
      </c>
      <c r="X136" s="51" t="str">
        <f t="shared" si="46"/>
        <v>INPUT / SECTION REVIEW</v>
      </c>
    </row>
    <row r="137" spans="1:24" ht="19.95" hidden="1" customHeight="1" outlineLevel="1">
      <c r="A137" s="51">
        <v>43</v>
      </c>
      <c r="B137" s="326" t="str">
        <f t="shared" si="47"/>
        <v/>
      </c>
      <c r="C137" s="326" t="str">
        <f t="shared" si="48"/>
        <v/>
      </c>
      <c r="D137" s="326" t="str">
        <f t="shared" si="26"/>
        <v/>
      </c>
      <c r="E137" s="326" t="str">
        <f t="shared" si="27"/>
        <v/>
      </c>
      <c r="F137" s="326" t="str">
        <f t="shared" si="28"/>
        <v/>
      </c>
      <c r="G137" s="326" t="str">
        <f t="shared" si="29"/>
        <v/>
      </c>
      <c r="H137" s="326" t="str">
        <f t="shared" si="30"/>
        <v/>
      </c>
      <c r="I137" s="326" t="str">
        <f t="shared" si="31"/>
        <v/>
      </c>
      <c r="J137" s="326" t="str">
        <f t="shared" si="32"/>
        <v/>
      </c>
      <c r="K137" s="326" t="str">
        <f t="shared" si="33"/>
        <v/>
      </c>
      <c r="L137" s="326" t="str">
        <f t="shared" si="34"/>
        <v/>
      </c>
      <c r="M137" s="326" t="str">
        <f t="shared" si="35"/>
        <v/>
      </c>
      <c r="N137" s="326" t="str">
        <f t="shared" si="36"/>
        <v/>
      </c>
      <c r="O137" s="326" t="str">
        <f t="shared" si="37"/>
        <v/>
      </c>
      <c r="P137" s="326" t="str">
        <f t="shared" si="38"/>
        <v/>
      </c>
      <c r="Q137" s="326" t="str">
        <f t="shared" si="39"/>
        <v/>
      </c>
      <c r="R137" s="326" t="str">
        <f t="shared" si="40"/>
        <v/>
      </c>
      <c r="S137" s="326" t="str">
        <f t="shared" si="41"/>
        <v/>
      </c>
      <c r="T137" s="326" t="str">
        <f t="shared" si="42"/>
        <v/>
      </c>
      <c r="U137" s="326" t="str">
        <f t="shared" si="43"/>
        <v/>
      </c>
      <c r="V137" s="326" t="str">
        <f t="shared" si="44"/>
        <v/>
      </c>
      <c r="W137" s="326" t="str">
        <f t="shared" si="45"/>
        <v/>
      </c>
      <c r="X137" s="51" t="str">
        <f t="shared" si="46"/>
        <v>INPUT / SECTION REVIEW</v>
      </c>
    </row>
    <row r="138" spans="1:24" ht="19.95" hidden="1" customHeight="1" outlineLevel="1">
      <c r="A138" s="51">
        <v>44</v>
      </c>
      <c r="B138" s="326" t="str">
        <f t="shared" si="47"/>
        <v/>
      </c>
      <c r="C138" s="326" t="str">
        <f t="shared" si="48"/>
        <v/>
      </c>
      <c r="D138" s="326" t="str">
        <f t="shared" si="26"/>
        <v/>
      </c>
      <c r="E138" s="326" t="str">
        <f t="shared" si="27"/>
        <v/>
      </c>
      <c r="F138" s="326" t="str">
        <f t="shared" si="28"/>
        <v/>
      </c>
      <c r="G138" s="326" t="str">
        <f t="shared" si="29"/>
        <v/>
      </c>
      <c r="H138" s="326" t="str">
        <f t="shared" si="30"/>
        <v/>
      </c>
      <c r="I138" s="326" t="str">
        <f t="shared" si="31"/>
        <v/>
      </c>
      <c r="J138" s="326" t="str">
        <f t="shared" si="32"/>
        <v/>
      </c>
      <c r="K138" s="326" t="str">
        <f t="shared" si="33"/>
        <v/>
      </c>
      <c r="L138" s="326" t="str">
        <f t="shared" si="34"/>
        <v/>
      </c>
      <c r="M138" s="326" t="str">
        <f t="shared" si="35"/>
        <v/>
      </c>
      <c r="N138" s="326" t="str">
        <f t="shared" si="36"/>
        <v/>
      </c>
      <c r="O138" s="326" t="str">
        <f t="shared" si="37"/>
        <v/>
      </c>
      <c r="P138" s="326" t="str">
        <f t="shared" si="38"/>
        <v/>
      </c>
      <c r="Q138" s="326" t="str">
        <f t="shared" si="39"/>
        <v/>
      </c>
      <c r="R138" s="326" t="str">
        <f t="shared" si="40"/>
        <v/>
      </c>
      <c r="S138" s="326" t="str">
        <f t="shared" si="41"/>
        <v/>
      </c>
      <c r="T138" s="326" t="str">
        <f t="shared" si="42"/>
        <v/>
      </c>
      <c r="U138" s="326" t="str">
        <f t="shared" si="43"/>
        <v/>
      </c>
      <c r="V138" s="326" t="str">
        <f t="shared" si="44"/>
        <v/>
      </c>
      <c r="W138" s="326" t="str">
        <f t="shared" si="45"/>
        <v/>
      </c>
      <c r="X138" s="51" t="str">
        <f t="shared" si="46"/>
        <v>INPUT / SECTION REVIEW</v>
      </c>
    </row>
    <row r="139" spans="1:24" ht="19.95" hidden="1" customHeight="1" outlineLevel="1">
      <c r="A139" s="51">
        <v>45</v>
      </c>
      <c r="B139" s="326" t="str">
        <f t="shared" si="47"/>
        <v/>
      </c>
      <c r="C139" s="326" t="str">
        <f t="shared" si="48"/>
        <v/>
      </c>
      <c r="D139" s="326" t="str">
        <f t="shared" si="26"/>
        <v/>
      </c>
      <c r="E139" s="326" t="str">
        <f t="shared" si="27"/>
        <v/>
      </c>
      <c r="F139" s="326" t="str">
        <f t="shared" si="28"/>
        <v/>
      </c>
      <c r="G139" s="326" t="str">
        <f t="shared" si="29"/>
        <v/>
      </c>
      <c r="H139" s="326" t="str">
        <f t="shared" si="30"/>
        <v/>
      </c>
      <c r="I139" s="326" t="str">
        <f t="shared" si="31"/>
        <v/>
      </c>
      <c r="J139" s="326" t="str">
        <f t="shared" si="32"/>
        <v/>
      </c>
      <c r="K139" s="326" t="str">
        <f t="shared" si="33"/>
        <v/>
      </c>
      <c r="L139" s="326" t="str">
        <f t="shared" si="34"/>
        <v/>
      </c>
      <c r="M139" s="326" t="str">
        <f t="shared" si="35"/>
        <v/>
      </c>
      <c r="N139" s="326" t="str">
        <f t="shared" si="36"/>
        <v/>
      </c>
      <c r="O139" s="326" t="str">
        <f t="shared" si="37"/>
        <v/>
      </c>
      <c r="P139" s="326" t="str">
        <f t="shared" si="38"/>
        <v/>
      </c>
      <c r="Q139" s="326" t="str">
        <f t="shared" si="39"/>
        <v/>
      </c>
      <c r="R139" s="326" t="str">
        <f t="shared" si="40"/>
        <v/>
      </c>
      <c r="S139" s="326" t="str">
        <f t="shared" si="41"/>
        <v/>
      </c>
      <c r="T139" s="326" t="str">
        <f t="shared" si="42"/>
        <v/>
      </c>
      <c r="U139" s="326" t="str">
        <f t="shared" si="43"/>
        <v/>
      </c>
      <c r="V139" s="326" t="str">
        <f t="shared" si="44"/>
        <v/>
      </c>
      <c r="W139" s="326" t="str">
        <f t="shared" si="45"/>
        <v/>
      </c>
      <c r="X139" s="51" t="str">
        <f t="shared" si="46"/>
        <v>INPUT / SECTION REVIEW</v>
      </c>
    </row>
    <row r="140" spans="1:24" ht="19.95" hidden="1" customHeight="1" outlineLevel="1">
      <c r="A140" s="51">
        <v>46</v>
      </c>
      <c r="B140" s="326" t="str">
        <f t="shared" si="47"/>
        <v/>
      </c>
      <c r="C140" s="326" t="str">
        <f t="shared" si="48"/>
        <v/>
      </c>
      <c r="D140" s="326" t="str">
        <f t="shared" si="26"/>
        <v/>
      </c>
      <c r="E140" s="326" t="str">
        <f t="shared" si="27"/>
        <v/>
      </c>
      <c r="F140" s="326" t="str">
        <f t="shared" si="28"/>
        <v/>
      </c>
      <c r="G140" s="326" t="str">
        <f t="shared" si="29"/>
        <v/>
      </c>
      <c r="H140" s="326" t="str">
        <f t="shared" si="30"/>
        <v/>
      </c>
      <c r="I140" s="326" t="str">
        <f t="shared" si="31"/>
        <v/>
      </c>
      <c r="J140" s="326" t="str">
        <f t="shared" si="32"/>
        <v/>
      </c>
      <c r="K140" s="326" t="str">
        <f t="shared" si="33"/>
        <v/>
      </c>
      <c r="L140" s="326" t="str">
        <f t="shared" si="34"/>
        <v/>
      </c>
      <c r="M140" s="326" t="str">
        <f t="shared" si="35"/>
        <v/>
      </c>
      <c r="N140" s="326" t="str">
        <f t="shared" si="36"/>
        <v/>
      </c>
      <c r="O140" s="326" t="str">
        <f t="shared" si="37"/>
        <v/>
      </c>
      <c r="P140" s="326" t="str">
        <f t="shared" si="38"/>
        <v/>
      </c>
      <c r="Q140" s="326" t="str">
        <f t="shared" si="39"/>
        <v/>
      </c>
      <c r="R140" s="326" t="str">
        <f t="shared" si="40"/>
        <v/>
      </c>
      <c r="S140" s="326" t="str">
        <f t="shared" si="41"/>
        <v/>
      </c>
      <c r="T140" s="326" t="str">
        <f t="shared" si="42"/>
        <v/>
      </c>
      <c r="U140" s="326" t="str">
        <f t="shared" si="43"/>
        <v/>
      </c>
      <c r="V140" s="326" t="str">
        <f t="shared" si="44"/>
        <v/>
      </c>
      <c r="W140" s="326" t="str">
        <f t="shared" si="45"/>
        <v/>
      </c>
      <c r="X140" s="51" t="str">
        <f t="shared" si="46"/>
        <v>INPUT / SECTION REVIEW</v>
      </c>
    </row>
    <row r="141" spans="1:24" ht="19.95" hidden="1" customHeight="1" outlineLevel="1">
      <c r="A141" s="51">
        <v>47</v>
      </c>
      <c r="B141" s="326" t="str">
        <f t="shared" si="47"/>
        <v/>
      </c>
      <c r="C141" s="326" t="str">
        <f t="shared" si="48"/>
        <v/>
      </c>
      <c r="D141" s="326" t="str">
        <f t="shared" si="26"/>
        <v/>
      </c>
      <c r="E141" s="326" t="str">
        <f t="shared" si="27"/>
        <v/>
      </c>
      <c r="F141" s="326" t="str">
        <f t="shared" si="28"/>
        <v/>
      </c>
      <c r="G141" s="326" t="str">
        <f t="shared" si="29"/>
        <v/>
      </c>
      <c r="H141" s="326" t="str">
        <f t="shared" si="30"/>
        <v/>
      </c>
      <c r="I141" s="326" t="str">
        <f t="shared" si="31"/>
        <v/>
      </c>
      <c r="J141" s="326" t="str">
        <f t="shared" si="32"/>
        <v/>
      </c>
      <c r="K141" s="326" t="str">
        <f t="shared" si="33"/>
        <v/>
      </c>
      <c r="L141" s="326" t="str">
        <f t="shared" si="34"/>
        <v/>
      </c>
      <c r="M141" s="326" t="str">
        <f t="shared" si="35"/>
        <v/>
      </c>
      <c r="N141" s="326" t="str">
        <f t="shared" si="36"/>
        <v/>
      </c>
      <c r="O141" s="326" t="str">
        <f t="shared" si="37"/>
        <v/>
      </c>
      <c r="P141" s="326" t="str">
        <f t="shared" si="38"/>
        <v/>
      </c>
      <c r="Q141" s="326" t="str">
        <f t="shared" si="39"/>
        <v/>
      </c>
      <c r="R141" s="326" t="str">
        <f t="shared" si="40"/>
        <v/>
      </c>
      <c r="S141" s="326" t="str">
        <f t="shared" si="41"/>
        <v/>
      </c>
      <c r="T141" s="326" t="str">
        <f t="shared" si="42"/>
        <v/>
      </c>
      <c r="U141" s="326" t="str">
        <f t="shared" si="43"/>
        <v/>
      </c>
      <c r="V141" s="326" t="str">
        <f t="shared" si="44"/>
        <v/>
      </c>
      <c r="W141" s="326" t="str">
        <f t="shared" si="45"/>
        <v/>
      </c>
      <c r="X141" s="51" t="str">
        <f t="shared" si="46"/>
        <v>INPUT / SECTION REVIEW</v>
      </c>
    </row>
    <row r="142" spans="1:24" ht="19.95" hidden="1" customHeight="1" outlineLevel="1">
      <c r="A142" s="51">
        <v>48</v>
      </c>
      <c r="B142" s="326" t="str">
        <f t="shared" si="47"/>
        <v/>
      </c>
      <c r="C142" s="326" t="str">
        <f t="shared" si="48"/>
        <v/>
      </c>
      <c r="D142" s="326" t="str">
        <f t="shared" si="26"/>
        <v/>
      </c>
      <c r="E142" s="326" t="str">
        <f t="shared" si="27"/>
        <v/>
      </c>
      <c r="F142" s="326" t="str">
        <f t="shared" si="28"/>
        <v/>
      </c>
      <c r="G142" s="326" t="str">
        <f t="shared" si="29"/>
        <v/>
      </c>
      <c r="H142" s="326" t="str">
        <f t="shared" si="30"/>
        <v/>
      </c>
      <c r="I142" s="326" t="str">
        <f t="shared" si="31"/>
        <v/>
      </c>
      <c r="J142" s="326" t="str">
        <f t="shared" si="32"/>
        <v/>
      </c>
      <c r="K142" s="326" t="str">
        <f t="shared" si="33"/>
        <v/>
      </c>
      <c r="L142" s="326" t="str">
        <f t="shared" si="34"/>
        <v/>
      </c>
      <c r="M142" s="326" t="str">
        <f t="shared" si="35"/>
        <v/>
      </c>
      <c r="N142" s="326" t="str">
        <f t="shared" si="36"/>
        <v/>
      </c>
      <c r="O142" s="326" t="str">
        <f t="shared" si="37"/>
        <v/>
      </c>
      <c r="P142" s="326" t="str">
        <f t="shared" si="38"/>
        <v/>
      </c>
      <c r="Q142" s="326" t="str">
        <f t="shared" si="39"/>
        <v/>
      </c>
      <c r="R142" s="326" t="str">
        <f t="shared" si="40"/>
        <v/>
      </c>
      <c r="S142" s="326" t="str">
        <f t="shared" si="41"/>
        <v/>
      </c>
      <c r="T142" s="326" t="str">
        <f t="shared" si="42"/>
        <v/>
      </c>
      <c r="U142" s="326" t="str">
        <f t="shared" si="43"/>
        <v/>
      </c>
      <c r="V142" s="326" t="str">
        <f t="shared" si="44"/>
        <v/>
      </c>
      <c r="W142" s="326" t="str">
        <f t="shared" si="45"/>
        <v/>
      </c>
      <c r="X142" s="51" t="str">
        <f t="shared" si="46"/>
        <v>INPUT / SECTION REVIEW</v>
      </c>
    </row>
    <row r="143" spans="1:24" ht="19.95" hidden="1" customHeight="1" outlineLevel="1">
      <c r="A143" s="51">
        <v>49</v>
      </c>
      <c r="B143" s="326" t="str">
        <f t="shared" si="47"/>
        <v/>
      </c>
      <c r="C143" s="326" t="str">
        <f t="shared" si="48"/>
        <v/>
      </c>
      <c r="D143" s="326" t="str">
        <f t="shared" si="26"/>
        <v/>
      </c>
      <c r="E143" s="326" t="str">
        <f t="shared" si="27"/>
        <v/>
      </c>
      <c r="F143" s="326" t="str">
        <f t="shared" si="28"/>
        <v/>
      </c>
      <c r="G143" s="326" t="str">
        <f t="shared" si="29"/>
        <v/>
      </c>
      <c r="H143" s="326" t="str">
        <f t="shared" si="30"/>
        <v/>
      </c>
      <c r="I143" s="326" t="str">
        <f t="shared" si="31"/>
        <v/>
      </c>
      <c r="J143" s="326" t="str">
        <f t="shared" si="32"/>
        <v/>
      </c>
      <c r="K143" s="326" t="str">
        <f t="shared" si="33"/>
        <v/>
      </c>
      <c r="L143" s="326" t="str">
        <f t="shared" si="34"/>
        <v/>
      </c>
      <c r="M143" s="326" t="str">
        <f t="shared" si="35"/>
        <v/>
      </c>
      <c r="N143" s="326" t="str">
        <f t="shared" si="36"/>
        <v/>
      </c>
      <c r="O143" s="326" t="str">
        <f t="shared" si="37"/>
        <v/>
      </c>
      <c r="P143" s="326" t="str">
        <f t="shared" si="38"/>
        <v/>
      </c>
      <c r="Q143" s="326" t="str">
        <f t="shared" si="39"/>
        <v/>
      </c>
      <c r="R143" s="326" t="str">
        <f t="shared" si="40"/>
        <v/>
      </c>
      <c r="S143" s="326" t="str">
        <f t="shared" si="41"/>
        <v/>
      </c>
      <c r="T143" s="326" t="str">
        <f t="shared" si="42"/>
        <v/>
      </c>
      <c r="U143" s="326" t="str">
        <f t="shared" si="43"/>
        <v/>
      </c>
      <c r="V143" s="326" t="str">
        <f t="shared" si="44"/>
        <v/>
      </c>
      <c r="W143" s="326" t="str">
        <f t="shared" si="45"/>
        <v/>
      </c>
      <c r="X143" s="51" t="str">
        <f t="shared" si="46"/>
        <v>INPUT / SECTION REVIEW</v>
      </c>
    </row>
    <row r="144" spans="1:24" ht="19.95" hidden="1" customHeight="1" outlineLevel="1">
      <c r="A144" s="51">
        <v>50</v>
      </c>
      <c r="B144" s="326" t="str">
        <f t="shared" si="47"/>
        <v/>
      </c>
      <c r="C144" s="326" t="str">
        <f t="shared" si="48"/>
        <v/>
      </c>
      <c r="D144" s="326" t="str">
        <f t="shared" si="26"/>
        <v/>
      </c>
      <c r="E144" s="326" t="str">
        <f t="shared" si="27"/>
        <v/>
      </c>
      <c r="F144" s="326" t="str">
        <f t="shared" si="28"/>
        <v/>
      </c>
      <c r="G144" s="326" t="str">
        <f t="shared" si="29"/>
        <v/>
      </c>
      <c r="H144" s="326" t="str">
        <f t="shared" si="30"/>
        <v/>
      </c>
      <c r="I144" s="326" t="str">
        <f t="shared" si="31"/>
        <v/>
      </c>
      <c r="J144" s="326" t="str">
        <f t="shared" si="32"/>
        <v/>
      </c>
      <c r="K144" s="326" t="str">
        <f t="shared" si="33"/>
        <v/>
      </c>
      <c r="L144" s="326" t="str">
        <f t="shared" si="34"/>
        <v/>
      </c>
      <c r="M144" s="326" t="str">
        <f t="shared" si="35"/>
        <v/>
      </c>
      <c r="N144" s="326" t="str">
        <f t="shared" si="36"/>
        <v/>
      </c>
      <c r="O144" s="326" t="str">
        <f t="shared" si="37"/>
        <v/>
      </c>
      <c r="P144" s="326" t="str">
        <f t="shared" si="38"/>
        <v/>
      </c>
      <c r="Q144" s="326" t="str">
        <f t="shared" si="39"/>
        <v/>
      </c>
      <c r="R144" s="326" t="str">
        <f t="shared" si="40"/>
        <v/>
      </c>
      <c r="S144" s="326" t="str">
        <f t="shared" si="41"/>
        <v/>
      </c>
      <c r="T144" s="326" t="str">
        <f t="shared" si="42"/>
        <v/>
      </c>
      <c r="U144" s="326" t="str">
        <f t="shared" si="43"/>
        <v/>
      </c>
      <c r="V144" s="326" t="str">
        <f t="shared" si="44"/>
        <v/>
      </c>
      <c r="W144" s="326" t="str">
        <f t="shared" si="45"/>
        <v/>
      </c>
      <c r="X144" s="51" t="str">
        <f t="shared" si="46"/>
        <v>INPUT / SECTION REVIEW</v>
      </c>
    </row>
    <row r="145" spans="1:24" ht="19.95" hidden="1" customHeight="1" outlineLevel="1">
      <c r="A145" s="51">
        <v>51</v>
      </c>
      <c r="B145" s="326" t="str">
        <f t="shared" si="47"/>
        <v/>
      </c>
      <c r="C145" s="326" t="str">
        <f t="shared" si="48"/>
        <v/>
      </c>
      <c r="D145" s="326" t="str">
        <f t="shared" si="26"/>
        <v/>
      </c>
      <c r="E145" s="326" t="str">
        <f t="shared" si="27"/>
        <v/>
      </c>
      <c r="F145" s="326" t="str">
        <f t="shared" si="28"/>
        <v/>
      </c>
      <c r="G145" s="326" t="str">
        <f t="shared" si="29"/>
        <v/>
      </c>
      <c r="H145" s="326" t="str">
        <f t="shared" si="30"/>
        <v/>
      </c>
      <c r="I145" s="326" t="str">
        <f t="shared" si="31"/>
        <v/>
      </c>
      <c r="J145" s="326" t="str">
        <f t="shared" si="32"/>
        <v/>
      </c>
      <c r="K145" s="326" t="str">
        <f t="shared" si="33"/>
        <v/>
      </c>
      <c r="L145" s="326" t="str">
        <f t="shared" si="34"/>
        <v/>
      </c>
      <c r="M145" s="326" t="str">
        <f t="shared" si="35"/>
        <v/>
      </c>
      <c r="N145" s="326" t="str">
        <f t="shared" si="36"/>
        <v/>
      </c>
      <c r="O145" s="326" t="str">
        <f t="shared" si="37"/>
        <v/>
      </c>
      <c r="P145" s="326" t="str">
        <f t="shared" si="38"/>
        <v/>
      </c>
      <c r="Q145" s="326" t="str">
        <f t="shared" si="39"/>
        <v/>
      </c>
      <c r="R145" s="326" t="str">
        <f t="shared" si="40"/>
        <v/>
      </c>
      <c r="S145" s="326" t="str">
        <f t="shared" si="41"/>
        <v/>
      </c>
      <c r="T145" s="326" t="str">
        <f t="shared" si="42"/>
        <v/>
      </c>
      <c r="U145" s="326" t="str">
        <f t="shared" si="43"/>
        <v/>
      </c>
      <c r="V145" s="326" t="str">
        <f t="shared" si="44"/>
        <v/>
      </c>
      <c r="W145" s="326" t="str">
        <f t="shared" si="45"/>
        <v/>
      </c>
      <c r="X145" s="51" t="str">
        <f t="shared" si="46"/>
        <v>INPUT / SECTION REVIEW</v>
      </c>
    </row>
    <row r="146" spans="1:24" ht="19.95" hidden="1" customHeight="1" outlineLevel="1">
      <c r="A146" s="51">
        <v>52</v>
      </c>
      <c r="B146" s="326" t="str">
        <f t="shared" si="47"/>
        <v/>
      </c>
      <c r="C146" s="326" t="str">
        <f t="shared" si="48"/>
        <v/>
      </c>
      <c r="D146" s="326" t="str">
        <f t="shared" si="26"/>
        <v/>
      </c>
      <c r="E146" s="326" t="str">
        <f t="shared" si="27"/>
        <v/>
      </c>
      <c r="F146" s="326" t="str">
        <f t="shared" si="28"/>
        <v/>
      </c>
      <c r="G146" s="326" t="str">
        <f t="shared" si="29"/>
        <v/>
      </c>
      <c r="H146" s="326" t="str">
        <f t="shared" si="30"/>
        <v/>
      </c>
      <c r="I146" s="326" t="str">
        <f t="shared" si="31"/>
        <v/>
      </c>
      <c r="J146" s="326" t="str">
        <f t="shared" si="32"/>
        <v/>
      </c>
      <c r="K146" s="326" t="str">
        <f t="shared" si="33"/>
        <v/>
      </c>
      <c r="L146" s="326" t="str">
        <f t="shared" si="34"/>
        <v/>
      </c>
      <c r="M146" s="326" t="str">
        <f t="shared" si="35"/>
        <v/>
      </c>
      <c r="N146" s="326" t="str">
        <f t="shared" si="36"/>
        <v/>
      </c>
      <c r="O146" s="326" t="str">
        <f t="shared" si="37"/>
        <v/>
      </c>
      <c r="P146" s="326" t="str">
        <f t="shared" si="38"/>
        <v/>
      </c>
      <c r="Q146" s="326" t="str">
        <f t="shared" si="39"/>
        <v/>
      </c>
      <c r="R146" s="326" t="str">
        <f t="shared" si="40"/>
        <v/>
      </c>
      <c r="S146" s="326" t="str">
        <f t="shared" si="41"/>
        <v/>
      </c>
      <c r="T146" s="326" t="str">
        <f t="shared" si="42"/>
        <v/>
      </c>
      <c r="U146" s="326" t="str">
        <f t="shared" si="43"/>
        <v/>
      </c>
      <c r="V146" s="326" t="str">
        <f t="shared" si="44"/>
        <v/>
      </c>
      <c r="W146" s="326" t="str">
        <f t="shared" si="45"/>
        <v/>
      </c>
      <c r="X146" s="51" t="str">
        <f t="shared" si="46"/>
        <v>INPUT / SECTION REVIEW</v>
      </c>
    </row>
    <row r="147" spans="1:24" ht="19.95" hidden="1" customHeight="1" outlineLevel="1">
      <c r="A147" s="51">
        <v>53</v>
      </c>
      <c r="B147" s="326" t="str">
        <f t="shared" si="47"/>
        <v/>
      </c>
      <c r="C147" s="326" t="str">
        <f t="shared" si="48"/>
        <v/>
      </c>
      <c r="D147" s="326" t="str">
        <f t="shared" si="26"/>
        <v/>
      </c>
      <c r="E147" s="326" t="str">
        <f t="shared" si="27"/>
        <v/>
      </c>
      <c r="F147" s="326" t="str">
        <f t="shared" si="28"/>
        <v/>
      </c>
      <c r="G147" s="326" t="str">
        <f t="shared" si="29"/>
        <v/>
      </c>
      <c r="H147" s="326" t="str">
        <f t="shared" si="30"/>
        <v/>
      </c>
      <c r="I147" s="326" t="str">
        <f t="shared" si="31"/>
        <v/>
      </c>
      <c r="J147" s="326" t="str">
        <f t="shared" si="32"/>
        <v/>
      </c>
      <c r="K147" s="326" t="str">
        <f t="shared" si="33"/>
        <v/>
      </c>
      <c r="L147" s="326" t="str">
        <f t="shared" si="34"/>
        <v/>
      </c>
      <c r="M147" s="326" t="str">
        <f t="shared" si="35"/>
        <v/>
      </c>
      <c r="N147" s="326" t="str">
        <f t="shared" si="36"/>
        <v/>
      </c>
      <c r="O147" s="326" t="str">
        <f t="shared" si="37"/>
        <v/>
      </c>
      <c r="P147" s="326" t="str">
        <f t="shared" si="38"/>
        <v/>
      </c>
      <c r="Q147" s="326" t="str">
        <f t="shared" si="39"/>
        <v/>
      </c>
      <c r="R147" s="326" t="str">
        <f t="shared" si="40"/>
        <v/>
      </c>
      <c r="S147" s="326" t="str">
        <f t="shared" si="41"/>
        <v/>
      </c>
      <c r="T147" s="326" t="str">
        <f t="shared" si="42"/>
        <v/>
      </c>
      <c r="U147" s="326" t="str">
        <f t="shared" si="43"/>
        <v/>
      </c>
      <c r="V147" s="326" t="str">
        <f t="shared" si="44"/>
        <v/>
      </c>
      <c r="W147" s="326" t="str">
        <f t="shared" si="45"/>
        <v/>
      </c>
      <c r="X147" s="51" t="str">
        <f t="shared" si="46"/>
        <v>INPUT / SECTION REVIEW</v>
      </c>
    </row>
    <row r="148" spans="1:24" ht="19.95" hidden="1" customHeight="1" outlineLevel="1">
      <c r="A148" s="51">
        <v>54</v>
      </c>
      <c r="B148" s="326" t="str">
        <f t="shared" si="47"/>
        <v/>
      </c>
      <c r="C148" s="326" t="str">
        <f t="shared" si="48"/>
        <v/>
      </c>
      <c r="D148" s="326" t="str">
        <f t="shared" si="26"/>
        <v/>
      </c>
      <c r="E148" s="326" t="str">
        <f t="shared" si="27"/>
        <v/>
      </c>
      <c r="F148" s="326" t="str">
        <f t="shared" si="28"/>
        <v/>
      </c>
      <c r="G148" s="326" t="str">
        <f t="shared" si="29"/>
        <v/>
      </c>
      <c r="H148" s="326" t="str">
        <f t="shared" si="30"/>
        <v/>
      </c>
      <c r="I148" s="326" t="str">
        <f t="shared" si="31"/>
        <v/>
      </c>
      <c r="J148" s="326" t="str">
        <f t="shared" si="32"/>
        <v/>
      </c>
      <c r="K148" s="326" t="str">
        <f t="shared" si="33"/>
        <v/>
      </c>
      <c r="L148" s="326" t="str">
        <f t="shared" si="34"/>
        <v/>
      </c>
      <c r="M148" s="326" t="str">
        <f t="shared" si="35"/>
        <v/>
      </c>
      <c r="N148" s="326" t="str">
        <f t="shared" si="36"/>
        <v/>
      </c>
      <c r="O148" s="326" t="str">
        <f t="shared" si="37"/>
        <v/>
      </c>
      <c r="P148" s="326" t="str">
        <f t="shared" si="38"/>
        <v/>
      </c>
      <c r="Q148" s="326" t="str">
        <f t="shared" si="39"/>
        <v/>
      </c>
      <c r="R148" s="326" t="str">
        <f t="shared" si="40"/>
        <v/>
      </c>
      <c r="S148" s="326" t="str">
        <f t="shared" si="41"/>
        <v/>
      </c>
      <c r="T148" s="326" t="str">
        <f t="shared" si="42"/>
        <v/>
      </c>
      <c r="U148" s="326" t="str">
        <f t="shared" si="43"/>
        <v/>
      </c>
      <c r="V148" s="326" t="str">
        <f t="shared" si="44"/>
        <v/>
      </c>
      <c r="W148" s="326" t="str">
        <f t="shared" si="45"/>
        <v/>
      </c>
      <c r="X148" s="51" t="str">
        <f t="shared" si="46"/>
        <v>INPUT / SECTION REVIEW</v>
      </c>
    </row>
    <row r="149" spans="1:24" ht="19.95" hidden="1" customHeight="1" outlineLevel="1">
      <c r="A149" s="51">
        <v>55</v>
      </c>
      <c r="B149" s="326" t="str">
        <f t="shared" si="47"/>
        <v/>
      </c>
      <c r="C149" s="326" t="str">
        <f t="shared" si="48"/>
        <v/>
      </c>
      <c r="D149" s="326" t="str">
        <f t="shared" si="26"/>
        <v/>
      </c>
      <c r="E149" s="326" t="str">
        <f t="shared" si="27"/>
        <v/>
      </c>
      <c r="F149" s="326" t="str">
        <f t="shared" si="28"/>
        <v/>
      </c>
      <c r="G149" s="326" t="str">
        <f t="shared" si="29"/>
        <v/>
      </c>
      <c r="H149" s="326" t="str">
        <f t="shared" si="30"/>
        <v/>
      </c>
      <c r="I149" s="326" t="str">
        <f t="shared" si="31"/>
        <v/>
      </c>
      <c r="J149" s="326" t="str">
        <f t="shared" si="32"/>
        <v/>
      </c>
      <c r="K149" s="326" t="str">
        <f t="shared" si="33"/>
        <v/>
      </c>
      <c r="L149" s="326" t="str">
        <f t="shared" si="34"/>
        <v/>
      </c>
      <c r="M149" s="326" t="str">
        <f t="shared" si="35"/>
        <v/>
      </c>
      <c r="N149" s="326" t="str">
        <f t="shared" si="36"/>
        <v/>
      </c>
      <c r="O149" s="326" t="str">
        <f t="shared" si="37"/>
        <v/>
      </c>
      <c r="P149" s="326" t="str">
        <f t="shared" si="38"/>
        <v/>
      </c>
      <c r="Q149" s="326" t="str">
        <f t="shared" si="39"/>
        <v/>
      </c>
      <c r="R149" s="326" t="str">
        <f t="shared" si="40"/>
        <v/>
      </c>
      <c r="S149" s="326" t="str">
        <f t="shared" si="41"/>
        <v/>
      </c>
      <c r="T149" s="326" t="str">
        <f t="shared" si="42"/>
        <v/>
      </c>
      <c r="U149" s="326" t="str">
        <f t="shared" si="43"/>
        <v/>
      </c>
      <c r="V149" s="326" t="str">
        <f t="shared" si="44"/>
        <v/>
      </c>
      <c r="W149" s="326" t="str">
        <f t="shared" si="45"/>
        <v/>
      </c>
      <c r="X149" s="51" t="str">
        <f t="shared" si="46"/>
        <v>INPUT / SECTION REVIEW</v>
      </c>
    </row>
    <row r="150" spans="1:24" ht="19.95" hidden="1" customHeight="1" outlineLevel="1">
      <c r="A150" s="51">
        <v>56</v>
      </c>
      <c r="B150" s="326" t="str">
        <f t="shared" si="47"/>
        <v/>
      </c>
      <c r="C150" s="326" t="str">
        <f t="shared" si="48"/>
        <v/>
      </c>
      <c r="D150" s="326" t="str">
        <f t="shared" si="26"/>
        <v/>
      </c>
      <c r="E150" s="326" t="str">
        <f t="shared" si="27"/>
        <v/>
      </c>
      <c r="F150" s="326" t="str">
        <f t="shared" si="28"/>
        <v/>
      </c>
      <c r="G150" s="326" t="str">
        <f t="shared" si="29"/>
        <v/>
      </c>
      <c r="H150" s="326" t="str">
        <f t="shared" si="30"/>
        <v/>
      </c>
      <c r="I150" s="326" t="str">
        <f t="shared" si="31"/>
        <v/>
      </c>
      <c r="J150" s="326" t="str">
        <f t="shared" si="32"/>
        <v/>
      </c>
      <c r="K150" s="326" t="str">
        <f t="shared" si="33"/>
        <v/>
      </c>
      <c r="L150" s="326" t="str">
        <f t="shared" si="34"/>
        <v/>
      </c>
      <c r="M150" s="326" t="str">
        <f t="shared" si="35"/>
        <v/>
      </c>
      <c r="N150" s="326" t="str">
        <f t="shared" si="36"/>
        <v/>
      </c>
      <c r="O150" s="326" t="str">
        <f t="shared" si="37"/>
        <v/>
      </c>
      <c r="P150" s="326" t="str">
        <f t="shared" si="38"/>
        <v/>
      </c>
      <c r="Q150" s="326" t="str">
        <f t="shared" si="39"/>
        <v/>
      </c>
      <c r="R150" s="326" t="str">
        <f t="shared" si="40"/>
        <v/>
      </c>
      <c r="S150" s="326" t="str">
        <f t="shared" si="41"/>
        <v/>
      </c>
      <c r="T150" s="326" t="str">
        <f t="shared" si="42"/>
        <v/>
      </c>
      <c r="U150" s="326" t="str">
        <f t="shared" si="43"/>
        <v/>
      </c>
      <c r="V150" s="326" t="str">
        <f t="shared" si="44"/>
        <v/>
      </c>
      <c r="W150" s="326" t="str">
        <f t="shared" si="45"/>
        <v/>
      </c>
      <c r="X150" s="51" t="str">
        <f t="shared" si="46"/>
        <v>INPUT / SECTION REVIEW</v>
      </c>
    </row>
    <row r="151" spans="1:24" ht="19.95" hidden="1" customHeight="1" outlineLevel="1">
      <c r="A151" s="51">
        <v>57</v>
      </c>
      <c r="B151" s="326" t="str">
        <f t="shared" si="47"/>
        <v/>
      </c>
      <c r="C151" s="326" t="str">
        <f t="shared" si="48"/>
        <v/>
      </c>
      <c r="D151" s="326" t="str">
        <f t="shared" si="26"/>
        <v/>
      </c>
      <c r="E151" s="326" t="str">
        <f t="shared" si="27"/>
        <v/>
      </c>
      <c r="F151" s="326" t="str">
        <f t="shared" si="28"/>
        <v/>
      </c>
      <c r="G151" s="326" t="str">
        <f t="shared" si="29"/>
        <v/>
      </c>
      <c r="H151" s="326" t="str">
        <f t="shared" si="30"/>
        <v/>
      </c>
      <c r="I151" s="326" t="str">
        <f t="shared" si="31"/>
        <v/>
      </c>
      <c r="J151" s="326" t="str">
        <f t="shared" si="32"/>
        <v/>
      </c>
      <c r="K151" s="326" t="str">
        <f t="shared" si="33"/>
        <v/>
      </c>
      <c r="L151" s="326" t="str">
        <f t="shared" si="34"/>
        <v/>
      </c>
      <c r="M151" s="326" t="str">
        <f t="shared" si="35"/>
        <v/>
      </c>
      <c r="N151" s="326" t="str">
        <f t="shared" si="36"/>
        <v/>
      </c>
      <c r="O151" s="326" t="str">
        <f t="shared" si="37"/>
        <v/>
      </c>
      <c r="P151" s="326" t="str">
        <f t="shared" si="38"/>
        <v/>
      </c>
      <c r="Q151" s="326" t="str">
        <f t="shared" si="39"/>
        <v/>
      </c>
      <c r="R151" s="326" t="str">
        <f t="shared" si="40"/>
        <v/>
      </c>
      <c r="S151" s="326" t="str">
        <f t="shared" si="41"/>
        <v/>
      </c>
      <c r="T151" s="326" t="str">
        <f t="shared" si="42"/>
        <v/>
      </c>
      <c r="U151" s="326" t="str">
        <f t="shared" si="43"/>
        <v/>
      </c>
      <c r="V151" s="326" t="str">
        <f t="shared" si="44"/>
        <v/>
      </c>
      <c r="W151" s="326" t="str">
        <f t="shared" si="45"/>
        <v/>
      </c>
      <c r="X151" s="51" t="str">
        <f t="shared" si="46"/>
        <v>INPUT / SECTION REVIEW</v>
      </c>
    </row>
    <row r="152" spans="1:24" ht="19.95" hidden="1" customHeight="1" outlineLevel="1">
      <c r="A152" s="51">
        <v>58</v>
      </c>
      <c r="B152" s="326" t="str">
        <f t="shared" si="47"/>
        <v/>
      </c>
      <c r="C152" s="326" t="str">
        <f t="shared" si="48"/>
        <v/>
      </c>
      <c r="D152" s="326" t="str">
        <f t="shared" si="26"/>
        <v/>
      </c>
      <c r="E152" s="326" t="str">
        <f t="shared" si="27"/>
        <v/>
      </c>
      <c r="F152" s="326" t="str">
        <f t="shared" si="28"/>
        <v/>
      </c>
      <c r="G152" s="326" t="str">
        <f t="shared" si="29"/>
        <v/>
      </c>
      <c r="H152" s="326" t="str">
        <f t="shared" si="30"/>
        <v/>
      </c>
      <c r="I152" s="326" t="str">
        <f t="shared" si="31"/>
        <v/>
      </c>
      <c r="J152" s="326" t="str">
        <f t="shared" si="32"/>
        <v/>
      </c>
      <c r="K152" s="326" t="str">
        <f t="shared" si="33"/>
        <v/>
      </c>
      <c r="L152" s="326" t="str">
        <f t="shared" si="34"/>
        <v/>
      </c>
      <c r="M152" s="326" t="str">
        <f t="shared" si="35"/>
        <v/>
      </c>
      <c r="N152" s="326" t="str">
        <f t="shared" si="36"/>
        <v/>
      </c>
      <c r="O152" s="326" t="str">
        <f t="shared" si="37"/>
        <v/>
      </c>
      <c r="P152" s="326" t="str">
        <f t="shared" si="38"/>
        <v/>
      </c>
      <c r="Q152" s="326" t="str">
        <f t="shared" si="39"/>
        <v/>
      </c>
      <c r="R152" s="326" t="str">
        <f t="shared" si="40"/>
        <v/>
      </c>
      <c r="S152" s="326" t="str">
        <f t="shared" si="41"/>
        <v/>
      </c>
      <c r="T152" s="326" t="str">
        <f t="shared" si="42"/>
        <v/>
      </c>
      <c r="U152" s="326" t="str">
        <f t="shared" si="43"/>
        <v/>
      </c>
      <c r="V152" s="326" t="str">
        <f t="shared" si="44"/>
        <v/>
      </c>
      <c r="W152" s="326" t="str">
        <f t="shared" si="45"/>
        <v/>
      </c>
      <c r="X152" s="51" t="str">
        <f t="shared" si="46"/>
        <v>INPUT / SECTION REVIEW</v>
      </c>
    </row>
    <row r="153" spans="1:24" ht="19.95" hidden="1" customHeight="1" outlineLevel="1">
      <c r="A153" s="51">
        <v>59</v>
      </c>
      <c r="B153" s="326" t="str">
        <f t="shared" si="47"/>
        <v/>
      </c>
      <c r="C153" s="326" t="str">
        <f t="shared" si="48"/>
        <v/>
      </c>
      <c r="D153" s="326" t="str">
        <f t="shared" si="26"/>
        <v/>
      </c>
      <c r="E153" s="326" t="str">
        <f t="shared" si="27"/>
        <v/>
      </c>
      <c r="F153" s="326" t="str">
        <f t="shared" si="28"/>
        <v/>
      </c>
      <c r="G153" s="326" t="str">
        <f t="shared" si="29"/>
        <v/>
      </c>
      <c r="H153" s="326" t="str">
        <f t="shared" si="30"/>
        <v/>
      </c>
      <c r="I153" s="326" t="str">
        <f t="shared" si="31"/>
        <v/>
      </c>
      <c r="J153" s="326" t="str">
        <f t="shared" si="32"/>
        <v/>
      </c>
      <c r="K153" s="326" t="str">
        <f t="shared" si="33"/>
        <v/>
      </c>
      <c r="L153" s="326" t="str">
        <f t="shared" si="34"/>
        <v/>
      </c>
      <c r="M153" s="326" t="str">
        <f t="shared" si="35"/>
        <v/>
      </c>
      <c r="N153" s="326" t="str">
        <f t="shared" si="36"/>
        <v/>
      </c>
      <c r="O153" s="326" t="str">
        <f t="shared" si="37"/>
        <v/>
      </c>
      <c r="P153" s="326" t="str">
        <f t="shared" si="38"/>
        <v/>
      </c>
      <c r="Q153" s="326" t="str">
        <f t="shared" si="39"/>
        <v/>
      </c>
      <c r="R153" s="326" t="str">
        <f t="shared" si="40"/>
        <v/>
      </c>
      <c r="S153" s="326" t="str">
        <f t="shared" si="41"/>
        <v/>
      </c>
      <c r="T153" s="326" t="str">
        <f t="shared" si="42"/>
        <v/>
      </c>
      <c r="U153" s="326" t="str">
        <f t="shared" si="43"/>
        <v/>
      </c>
      <c r="V153" s="326" t="str">
        <f t="shared" si="44"/>
        <v/>
      </c>
      <c r="W153" s="326" t="str">
        <f t="shared" si="45"/>
        <v/>
      </c>
      <c r="X153" s="51" t="str">
        <f t="shared" si="46"/>
        <v>INPUT / SECTION REVIEW</v>
      </c>
    </row>
    <row r="154" spans="1:24" ht="19.95" hidden="1" customHeight="1" outlineLevel="1">
      <c r="A154" s="51">
        <v>60</v>
      </c>
      <c r="B154" s="326" t="str">
        <f t="shared" si="47"/>
        <v/>
      </c>
      <c r="C154" s="326" t="str">
        <f t="shared" si="48"/>
        <v/>
      </c>
      <c r="D154" s="326" t="str">
        <f t="shared" si="26"/>
        <v/>
      </c>
      <c r="E154" s="326" t="str">
        <f t="shared" si="27"/>
        <v/>
      </c>
      <c r="F154" s="326" t="str">
        <f t="shared" si="28"/>
        <v/>
      </c>
      <c r="G154" s="326" t="str">
        <f t="shared" si="29"/>
        <v/>
      </c>
      <c r="H154" s="326" t="str">
        <f t="shared" si="30"/>
        <v/>
      </c>
      <c r="I154" s="326" t="str">
        <f t="shared" si="31"/>
        <v/>
      </c>
      <c r="J154" s="326" t="str">
        <f t="shared" si="32"/>
        <v/>
      </c>
      <c r="K154" s="326" t="str">
        <f t="shared" si="33"/>
        <v/>
      </c>
      <c r="L154" s="326" t="str">
        <f t="shared" si="34"/>
        <v/>
      </c>
      <c r="M154" s="326" t="str">
        <f t="shared" si="35"/>
        <v/>
      </c>
      <c r="N154" s="326" t="str">
        <f t="shared" si="36"/>
        <v/>
      </c>
      <c r="O154" s="326" t="str">
        <f t="shared" si="37"/>
        <v/>
      </c>
      <c r="P154" s="326" t="str">
        <f t="shared" si="38"/>
        <v/>
      </c>
      <c r="Q154" s="326" t="str">
        <f t="shared" si="39"/>
        <v/>
      </c>
      <c r="R154" s="326" t="str">
        <f t="shared" si="40"/>
        <v/>
      </c>
      <c r="S154" s="326" t="str">
        <f t="shared" si="41"/>
        <v/>
      </c>
      <c r="T154" s="326" t="str">
        <f t="shared" si="42"/>
        <v/>
      </c>
      <c r="U154" s="326" t="str">
        <f t="shared" si="43"/>
        <v/>
      </c>
      <c r="V154" s="326" t="str">
        <f t="shared" si="44"/>
        <v/>
      </c>
      <c r="W154" s="326" t="str">
        <f t="shared" si="45"/>
        <v/>
      </c>
      <c r="X154" s="51" t="str">
        <f t="shared" si="46"/>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e">
        <f>C7*1000</f>
        <v>#VALUE!</v>
      </c>
      <c r="AB201">
        <f>0</f>
        <v>0</v>
      </c>
    </row>
    <row r="202" spans="1:28" ht="27" hidden="1" customHeight="1">
      <c r="AA202" t="e">
        <f>C7*1000</f>
        <v>#VALUE!</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41" si="49">IF(AA210="",NA(),$C$13)</f>
        <v>#N/A</v>
      </c>
      <c r="AC210" t="e">
        <f t="shared" ref="AC210:AC241" si="50">IF(AA210="",NA(),$C$7*1000-$C$13)</f>
        <v>#N/A</v>
      </c>
      <c r="AD210" t="e">
        <f>IF(AA210="",NA(),$C$9*(0.9-0.35*0/MAX(1,$C$50-1)))</f>
        <v>#N/A</v>
      </c>
      <c r="AE210" t="e">
        <f t="shared" ref="AE210:AE241" si="51">AD210</f>
        <v>#N/A</v>
      </c>
    </row>
    <row r="211" spans="27:31" ht="27" hidden="1" customHeight="1">
      <c r="AA211" t="str">
        <f>IF(AND($X$154="CONVERGED",C50&gt;=2),MAX(0,MIN($C$17,C48-(2-1)*$C$17))&amp;"T"&amp;TEXT($C$15,"0"),"")</f>
        <v/>
      </c>
      <c r="AB211" t="e">
        <f t="shared" si="49"/>
        <v>#N/A</v>
      </c>
      <c r="AC211" t="e">
        <f t="shared" si="50"/>
        <v>#N/A</v>
      </c>
      <c r="AD211" t="e">
        <f>IF(AA211="",NA(),$C$9*(0.9-0.35*1/MAX(1,$C$50-1)))</f>
        <v>#N/A</v>
      </c>
      <c r="AE211" t="e">
        <f t="shared" si="51"/>
        <v>#N/A</v>
      </c>
    </row>
    <row r="212" spans="27:31" ht="27" hidden="1" customHeight="1">
      <c r="AA212" t="str">
        <f>IF(AND($X$154="CONVERGED",C50&gt;=3),MAX(0,MIN($C$17,C48-(3-1)*$C$17))&amp;"T"&amp;TEXT($C$15,"0"),"")</f>
        <v/>
      </c>
      <c r="AB212" t="e">
        <f t="shared" si="49"/>
        <v>#N/A</v>
      </c>
      <c r="AC212" t="e">
        <f t="shared" si="50"/>
        <v>#N/A</v>
      </c>
      <c r="AD212" t="e">
        <f>IF(AA212="",NA(),$C$9*(0.9-0.35*2/MAX(1,$C$50-1)))</f>
        <v>#N/A</v>
      </c>
      <c r="AE212" t="e">
        <f t="shared" si="51"/>
        <v>#N/A</v>
      </c>
    </row>
    <row r="213" spans="27:31" ht="27" hidden="1" customHeight="1">
      <c r="AA213" t="str">
        <f>IF(AND($X$154="CONVERGED",C50&gt;=4),MAX(0,MIN($C$17,C48-(4-1)*$C$17))&amp;"T"&amp;TEXT($C$15,"0"),"")</f>
        <v/>
      </c>
      <c r="AB213" t="e">
        <f t="shared" si="49"/>
        <v>#N/A</v>
      </c>
      <c r="AC213" t="e">
        <f t="shared" si="50"/>
        <v>#N/A</v>
      </c>
      <c r="AD213" t="e">
        <f>IF(AA213="",NA(),$C$9*(0.9-0.35*3/MAX(1,$C$50-1)))</f>
        <v>#N/A</v>
      </c>
      <c r="AE213" t="e">
        <f t="shared" si="51"/>
        <v>#N/A</v>
      </c>
    </row>
    <row r="214" spans="27:31" ht="27" hidden="1" customHeight="1">
      <c r="AA214" t="str">
        <f>IF(AND($X$154="CONVERGED",C50&gt;=5),MAX(0,MIN($C$17,C48-(5-1)*$C$17))&amp;"T"&amp;TEXT($C$15,"0"),"")</f>
        <v/>
      </c>
      <c r="AB214" t="e">
        <f t="shared" si="49"/>
        <v>#N/A</v>
      </c>
      <c r="AC214" t="e">
        <f t="shared" si="50"/>
        <v>#N/A</v>
      </c>
      <c r="AD214" t="e">
        <f>IF(AA214="",NA(),$C$9*(0.9-0.35*4/MAX(1,$C$50-1)))</f>
        <v>#N/A</v>
      </c>
      <c r="AE214" t="e">
        <f t="shared" si="51"/>
        <v>#N/A</v>
      </c>
    </row>
    <row r="215" spans="27:31" ht="27" hidden="1" customHeight="1">
      <c r="AA215" t="str">
        <f>IF(AND($X$154="CONVERGED",C50&gt;=6),MAX(0,MIN($C$17,C48-(6-1)*$C$17))&amp;"T"&amp;TEXT($C$15,"0"),"")</f>
        <v/>
      </c>
      <c r="AB215" t="e">
        <f t="shared" si="49"/>
        <v>#N/A</v>
      </c>
      <c r="AC215" t="e">
        <f t="shared" si="50"/>
        <v>#N/A</v>
      </c>
      <c r="AD215" t="e">
        <f>IF(AA215="",NA(),$C$9*(0.9-0.35*5/MAX(1,$C$50-1)))</f>
        <v>#N/A</v>
      </c>
      <c r="AE215" t="e">
        <f t="shared" si="51"/>
        <v>#N/A</v>
      </c>
    </row>
    <row r="216" spans="27:31" ht="27" hidden="1" customHeight="1">
      <c r="AA216" t="str">
        <f>IF(AND($X$154="CONVERGED",C50&gt;=7),MAX(0,MIN($C$17,C48-(7-1)*$C$17))&amp;"T"&amp;TEXT($C$15,"0"),"")</f>
        <v/>
      </c>
      <c r="AB216" t="e">
        <f t="shared" si="49"/>
        <v>#N/A</v>
      </c>
      <c r="AC216" t="e">
        <f t="shared" si="50"/>
        <v>#N/A</v>
      </c>
      <c r="AD216" t="e">
        <f>IF(AA216="",NA(),$C$9*(0.9-0.35*6/MAX(1,$C$50-1)))</f>
        <v>#N/A</v>
      </c>
      <c r="AE216" t="e">
        <f t="shared" si="51"/>
        <v>#N/A</v>
      </c>
    </row>
    <row r="217" spans="27:31" ht="27" hidden="1" customHeight="1">
      <c r="AA217" t="str">
        <f>IF(AND($X$154="CONVERGED",C50&gt;=8),MAX(0,MIN($C$17,C48-(8-1)*$C$17))&amp;"T"&amp;TEXT($C$15,"0"),"")</f>
        <v/>
      </c>
      <c r="AB217" t="e">
        <f t="shared" si="49"/>
        <v>#N/A</v>
      </c>
      <c r="AC217" t="e">
        <f t="shared" si="50"/>
        <v>#N/A</v>
      </c>
      <c r="AD217" t="e">
        <f>IF(AA217="",NA(),$C$9*(0.9-0.35*7/MAX(1,$C$50-1)))</f>
        <v>#N/A</v>
      </c>
      <c r="AE217" t="e">
        <f t="shared" si="51"/>
        <v>#N/A</v>
      </c>
    </row>
    <row r="218" spans="27:31" ht="45" hidden="1" customHeight="1">
      <c r="AA218" t="str">
        <f>IF(AND($X$154="CONVERGED",C50&gt;=9),MAX(0,MIN($C$17,C48-(9-1)*$C$17))&amp;"T"&amp;TEXT($C$15,"0"),"")</f>
        <v/>
      </c>
      <c r="AB218" t="e">
        <f t="shared" si="49"/>
        <v>#N/A</v>
      </c>
      <c r="AC218" t="e">
        <f t="shared" si="50"/>
        <v>#N/A</v>
      </c>
      <c r="AD218" t="e">
        <f>IF(AA218="",NA(),$C$9*(0.9-0.35*8/MAX(1,$C$50-1)))</f>
        <v>#N/A</v>
      </c>
      <c r="AE218" t="e">
        <f t="shared" si="51"/>
        <v>#N/A</v>
      </c>
    </row>
    <row r="219" spans="27:31" ht="27" hidden="1" customHeight="1">
      <c r="AA219" t="str">
        <f>IF(AND($X$154="CONVERGED",C50&gt;=10),MAX(0,MIN($C$17,C48-(10-1)*$C$17))&amp;"T"&amp;TEXT($C$15,"0"),"")</f>
        <v/>
      </c>
      <c r="AB219" t="e">
        <f t="shared" si="49"/>
        <v>#N/A</v>
      </c>
      <c r="AC219" t="e">
        <f t="shared" si="50"/>
        <v>#N/A</v>
      </c>
      <c r="AD219" t="e">
        <f>IF(AA219="",NA(),$C$9*(0.9-0.35*9/MAX(1,$C$50-1)))</f>
        <v>#N/A</v>
      </c>
      <c r="AE219" t="e">
        <f t="shared" si="51"/>
        <v>#N/A</v>
      </c>
    </row>
    <row r="220" spans="27:31" ht="45" hidden="1" customHeight="1">
      <c r="AA220" t="str">
        <f>IF(AND($X$154="CONVERGED",C50&gt;=11),MAX(0,MIN($C$17,C48-(11-1)*$C$17))&amp;"T"&amp;TEXT($C$15,"0"),"")</f>
        <v/>
      </c>
      <c r="AB220" t="e">
        <f t="shared" si="49"/>
        <v>#N/A</v>
      </c>
      <c r="AC220" t="e">
        <f t="shared" si="50"/>
        <v>#N/A</v>
      </c>
      <c r="AD220" t="e">
        <f>IF(AA220="",NA(),$C$9*(0.9-0.35*10/MAX(1,$C$50-1)))</f>
        <v>#N/A</v>
      </c>
      <c r="AE220" t="e">
        <f t="shared" si="51"/>
        <v>#N/A</v>
      </c>
    </row>
    <row r="221" spans="27:31" ht="27" hidden="1" customHeight="1">
      <c r="AA221" t="str">
        <f>IF(AND($X$154="CONVERGED",C50&gt;=12),MAX(0,MIN($C$17,C48-(12-1)*$C$17))&amp;"T"&amp;TEXT($C$15,"0"),"")</f>
        <v/>
      </c>
      <c r="AB221" t="e">
        <f t="shared" si="49"/>
        <v>#N/A</v>
      </c>
      <c r="AC221" t="e">
        <f t="shared" si="50"/>
        <v>#N/A</v>
      </c>
      <c r="AD221" t="e">
        <f>IF(AA221="",NA(),$C$9*(0.9-0.35*11/MAX(1,$C$50-1)))</f>
        <v>#N/A</v>
      </c>
      <c r="AE221" t="e">
        <f t="shared" si="51"/>
        <v>#N/A</v>
      </c>
    </row>
    <row r="222" spans="27:31" ht="27" hidden="1" customHeight="1">
      <c r="AA222" t="str">
        <f>IF(AND($X$154="CONVERGED",C50&gt;=13),MAX(0,MIN($C$17,C48-(13-1)*$C$17))&amp;"T"&amp;TEXT($C$15,"0"),"")</f>
        <v/>
      </c>
      <c r="AB222" t="e">
        <f t="shared" si="49"/>
        <v>#N/A</v>
      </c>
      <c r="AC222" t="e">
        <f t="shared" si="50"/>
        <v>#N/A</v>
      </c>
      <c r="AD222" t="e">
        <f>IF(AA222="",NA(),$C$9*(0.9-0.35*12/MAX(1,$C$50-1)))</f>
        <v>#N/A</v>
      </c>
      <c r="AE222" t="e">
        <f t="shared" si="51"/>
        <v>#N/A</v>
      </c>
    </row>
    <row r="223" spans="27:31" ht="27" hidden="1" customHeight="1">
      <c r="AA223" t="str">
        <f>IF(AND($X$154="CONVERGED",C50&gt;=14),MAX(0,MIN($C$17,C48-(14-1)*$C$17))&amp;"T"&amp;TEXT($C$15,"0"),"")</f>
        <v/>
      </c>
      <c r="AB223" t="e">
        <f t="shared" si="49"/>
        <v>#N/A</v>
      </c>
      <c r="AC223" t="e">
        <f t="shared" si="50"/>
        <v>#N/A</v>
      </c>
      <c r="AD223" t="e">
        <f>IF(AA223="",NA(),$C$9*(0.9-0.35*13/MAX(1,$C$50-1)))</f>
        <v>#N/A</v>
      </c>
      <c r="AE223" t="e">
        <f t="shared" si="51"/>
        <v>#N/A</v>
      </c>
    </row>
    <row r="224" spans="27:31" ht="27" hidden="1" customHeight="1">
      <c r="AA224" t="str">
        <f>IF(AND($X$154="CONVERGED",C50&gt;=15),MAX(0,MIN($C$17,C48-(15-1)*$C$17))&amp;"T"&amp;TEXT($C$15,"0"),"")</f>
        <v/>
      </c>
      <c r="AB224" t="e">
        <f t="shared" si="49"/>
        <v>#N/A</v>
      </c>
      <c r="AC224" t="e">
        <f t="shared" si="50"/>
        <v>#N/A</v>
      </c>
      <c r="AD224" t="e">
        <f>IF(AA224="",NA(),$C$9*(0.9-0.35*14/MAX(1,$C$50-1)))</f>
        <v>#N/A</v>
      </c>
      <c r="AE224" t="e">
        <f t="shared" si="51"/>
        <v>#N/A</v>
      </c>
    </row>
    <row r="225" spans="27:31" ht="27" hidden="1" customHeight="1">
      <c r="AA225" t="str">
        <f>IF(AND($X$154="CONVERGED",C50&gt;=16),MAX(0,MIN($C$17,C48-(16-1)*$C$17))&amp;"T"&amp;TEXT($C$15,"0"),"")</f>
        <v/>
      </c>
      <c r="AB225" t="e">
        <f t="shared" si="49"/>
        <v>#N/A</v>
      </c>
      <c r="AC225" t="e">
        <f t="shared" si="50"/>
        <v>#N/A</v>
      </c>
      <c r="AD225" t="e">
        <f>IF(AA225="",NA(),$C$9*(0.9-0.35*15/MAX(1,$C$50-1)))</f>
        <v>#N/A</v>
      </c>
      <c r="AE225" t="e">
        <f t="shared" si="51"/>
        <v>#N/A</v>
      </c>
    </row>
    <row r="226" spans="27:31" ht="45" hidden="1" customHeight="1">
      <c r="AA226" t="str">
        <f>IF(AND($X$154="CONVERGED",C50&gt;=17),MAX(0,MIN($C$17,C48-(17-1)*$C$17))&amp;"T"&amp;TEXT($C$15,"0"),"")</f>
        <v/>
      </c>
      <c r="AB226" t="e">
        <f t="shared" si="49"/>
        <v>#N/A</v>
      </c>
      <c r="AC226" t="e">
        <f t="shared" si="50"/>
        <v>#N/A</v>
      </c>
      <c r="AD226" t="e">
        <f>IF(AA226="",NA(),$C$9*(0.9-0.35*16/MAX(1,$C$50-1)))</f>
        <v>#N/A</v>
      </c>
      <c r="AE226" t="e">
        <f t="shared" si="51"/>
        <v>#N/A</v>
      </c>
    </row>
    <row r="227" spans="27:31" ht="45" hidden="1" customHeight="1">
      <c r="AA227" t="str">
        <f>IF(AND($X$154="CONVERGED",C50&gt;=18),MAX(0,MIN($C$17,C48-(18-1)*$C$17))&amp;"T"&amp;TEXT($C$15,"0"),"")</f>
        <v/>
      </c>
      <c r="AB227" t="e">
        <f t="shared" si="49"/>
        <v>#N/A</v>
      </c>
      <c r="AC227" t="e">
        <f t="shared" si="50"/>
        <v>#N/A</v>
      </c>
      <c r="AD227" t="e">
        <f>IF(AA227="",NA(),$C$9*(0.9-0.35*17/MAX(1,$C$50-1)))</f>
        <v>#N/A</v>
      </c>
      <c r="AE227" t="e">
        <f t="shared" si="51"/>
        <v>#N/A</v>
      </c>
    </row>
    <row r="228" spans="27:31" ht="45" hidden="1" customHeight="1">
      <c r="AA228" t="str">
        <f>IF(AND($X$154="CONVERGED",C50&gt;=19),MAX(0,MIN($C$17,C48-(19-1)*$C$17))&amp;"T"&amp;TEXT($C$15,"0"),"")</f>
        <v/>
      </c>
      <c r="AB228" t="e">
        <f t="shared" si="49"/>
        <v>#N/A</v>
      </c>
      <c r="AC228" t="e">
        <f t="shared" si="50"/>
        <v>#N/A</v>
      </c>
      <c r="AD228" t="e">
        <f>IF(AA228="",NA(),$C$9*(0.9-0.35*18/MAX(1,$C$50-1)))</f>
        <v>#N/A</v>
      </c>
      <c r="AE228" t="e">
        <f t="shared" si="51"/>
        <v>#N/A</v>
      </c>
    </row>
    <row r="229" spans="27:31" ht="45" hidden="1" customHeight="1">
      <c r="AA229" t="str">
        <f>IF(AND($X$154="CONVERGED",C50&gt;=20),MAX(0,MIN($C$17,C48-(20-1)*$C$17))&amp;"T"&amp;TEXT($C$15,"0"),"")</f>
        <v/>
      </c>
      <c r="AB229" t="e">
        <f t="shared" si="49"/>
        <v>#N/A</v>
      </c>
      <c r="AC229" t="e">
        <f t="shared" si="50"/>
        <v>#N/A</v>
      </c>
      <c r="AD229" t="e">
        <f>IF(AA229="",NA(),$C$9*(0.9-0.35*19/MAX(1,$C$50-1)))</f>
        <v>#N/A</v>
      </c>
      <c r="AE229" t="e">
        <f t="shared" si="51"/>
        <v>#N/A</v>
      </c>
    </row>
    <row r="230" spans="27:31" ht="45" hidden="1" customHeight="1">
      <c r="AA230" t="str">
        <f>IF(AND($X$154="CONVERGED",C50&gt;=21),MAX(0,MIN($C$17,C48-(21-1)*$C$17))&amp;"T"&amp;TEXT($C$15,"0"),"")</f>
        <v/>
      </c>
      <c r="AB230" t="e">
        <f t="shared" si="49"/>
        <v>#N/A</v>
      </c>
      <c r="AC230" t="e">
        <f t="shared" si="50"/>
        <v>#N/A</v>
      </c>
      <c r="AD230" t="e">
        <f>IF(AA230="",NA(),$C$9*(0.9-0.35*20/MAX(1,$C$50-1)))</f>
        <v>#N/A</v>
      </c>
      <c r="AE230" t="e">
        <f t="shared" si="51"/>
        <v>#N/A</v>
      </c>
    </row>
    <row r="231" spans="27:31" hidden="1">
      <c r="AA231" t="str">
        <f>IF(AND($X$154="CONVERGED",C50&gt;=22),MAX(0,MIN($C$17,C48-(22-1)*$C$17))&amp;"T"&amp;TEXT($C$15,"0"),"")</f>
        <v/>
      </c>
      <c r="AB231" t="e">
        <f t="shared" si="49"/>
        <v>#N/A</v>
      </c>
      <c r="AC231" t="e">
        <f t="shared" si="50"/>
        <v>#N/A</v>
      </c>
      <c r="AD231" t="e">
        <f>IF(AA231="",NA(),$C$9*(0.9-0.35*21/MAX(1,$C$50-1)))</f>
        <v>#N/A</v>
      </c>
      <c r="AE231" t="e">
        <f t="shared" si="51"/>
        <v>#N/A</v>
      </c>
    </row>
    <row r="232" spans="27:31" ht="34.049999999999997" hidden="1" customHeight="1">
      <c r="AA232" t="str">
        <f>IF(AND($X$154="CONVERGED",C50&gt;=23),MAX(0,MIN($C$17,C48-(23-1)*$C$17))&amp;"T"&amp;TEXT($C$15,"0"),"")</f>
        <v/>
      </c>
      <c r="AB232" t="e">
        <f t="shared" si="49"/>
        <v>#N/A</v>
      </c>
      <c r="AC232" t="e">
        <f t="shared" si="50"/>
        <v>#N/A</v>
      </c>
      <c r="AD232" t="e">
        <f>IF(AA232="",NA(),$C$9*(0.9-0.35*22/MAX(1,$C$50-1)))</f>
        <v>#N/A</v>
      </c>
      <c r="AE232" t="e">
        <f t="shared" si="51"/>
        <v>#N/A</v>
      </c>
    </row>
    <row r="233" spans="27:31" ht="34.049999999999997" hidden="1" customHeight="1">
      <c r="AA233" t="str">
        <f>IF(AND($X$154="CONVERGED",C50&gt;=24),MAX(0,MIN($C$17,C48-(24-1)*$C$17))&amp;"T"&amp;TEXT($C$15,"0"),"")</f>
        <v/>
      </c>
      <c r="AB233" t="e">
        <f t="shared" si="49"/>
        <v>#N/A</v>
      </c>
      <c r="AC233" t="e">
        <f t="shared" si="50"/>
        <v>#N/A</v>
      </c>
      <c r="AD233" t="e">
        <f>IF(AA233="",NA(),$C$9*(0.9-0.35*23/MAX(1,$C$50-1)))</f>
        <v>#N/A</v>
      </c>
      <c r="AE233" t="e">
        <f t="shared" si="51"/>
        <v>#N/A</v>
      </c>
    </row>
    <row r="234" spans="27:31" hidden="1">
      <c r="AA234" t="str">
        <f>IF(AND($X$154="CONVERGED",C50&gt;=25),MAX(0,MIN($C$17,C48-(25-1)*$C$17))&amp;"T"&amp;TEXT($C$15,"0"),"")</f>
        <v/>
      </c>
      <c r="AB234" t="e">
        <f t="shared" si="49"/>
        <v>#N/A</v>
      </c>
      <c r="AC234" t="e">
        <f t="shared" si="50"/>
        <v>#N/A</v>
      </c>
      <c r="AD234" t="e">
        <f>IF(AA234="",NA(),$C$9*(0.9-0.35*24/MAX(1,$C$50-1)))</f>
        <v>#N/A</v>
      </c>
      <c r="AE234" t="e">
        <f t="shared" si="51"/>
        <v>#N/A</v>
      </c>
    </row>
    <row r="235" spans="27:31" hidden="1">
      <c r="AA235" t="str">
        <f>IF(AND($X$154="CONVERGED",C50&gt;=26),MAX(0,MIN($C$17,C48-(26-1)*$C$17))&amp;"T"&amp;TEXT($C$15,"0"),"")</f>
        <v/>
      </c>
      <c r="AB235" t="e">
        <f t="shared" si="49"/>
        <v>#N/A</v>
      </c>
      <c r="AC235" t="e">
        <f t="shared" si="50"/>
        <v>#N/A</v>
      </c>
      <c r="AD235" t="e">
        <f>IF(AA235="",NA(),$C$9*(0.9-0.35*25/MAX(1,$C$50-1)))</f>
        <v>#N/A</v>
      </c>
      <c r="AE235" t="e">
        <f t="shared" si="51"/>
        <v>#N/A</v>
      </c>
    </row>
    <row r="236" spans="27:31" hidden="1">
      <c r="AA236" t="str">
        <f>IF(AND($X$154="CONVERGED",C50&gt;=27),MAX(0,MIN($C$17,C48-(27-1)*$C$17))&amp;"T"&amp;TEXT($C$15,"0"),"")</f>
        <v/>
      </c>
      <c r="AB236" t="e">
        <f t="shared" si="49"/>
        <v>#N/A</v>
      </c>
      <c r="AC236" t="e">
        <f t="shared" si="50"/>
        <v>#N/A</v>
      </c>
      <c r="AD236" t="e">
        <f>IF(AA236="",NA(),$C$9*(0.9-0.35*26/MAX(1,$C$50-1)))</f>
        <v>#N/A</v>
      </c>
      <c r="AE236" t="e">
        <f t="shared" si="51"/>
        <v>#N/A</v>
      </c>
    </row>
    <row r="237" spans="27:31" hidden="1">
      <c r="AA237" t="str">
        <f>IF(AND($X$154="CONVERGED",C50&gt;=28),MAX(0,MIN($C$17,C48-(28-1)*$C$17))&amp;"T"&amp;TEXT($C$15,"0"),"")</f>
        <v/>
      </c>
      <c r="AB237" t="e">
        <f t="shared" si="49"/>
        <v>#N/A</v>
      </c>
      <c r="AC237" t="e">
        <f t="shared" si="50"/>
        <v>#N/A</v>
      </c>
      <c r="AD237" t="e">
        <f>IF(AA237="",NA(),$C$9*(0.9-0.35*27/MAX(1,$C$50-1)))</f>
        <v>#N/A</v>
      </c>
      <c r="AE237" t="e">
        <f t="shared" si="51"/>
        <v>#N/A</v>
      </c>
    </row>
    <row r="238" spans="27:31" hidden="1">
      <c r="AA238" t="str">
        <f>IF(AND($X$154="CONVERGED",C50&gt;=29),MAX(0,MIN($C$17,C48-(29-1)*$C$17))&amp;"T"&amp;TEXT($C$15,"0"),"")</f>
        <v/>
      </c>
      <c r="AB238" t="e">
        <f t="shared" si="49"/>
        <v>#N/A</v>
      </c>
      <c r="AC238" t="e">
        <f t="shared" si="50"/>
        <v>#N/A</v>
      </c>
      <c r="AD238" t="e">
        <f>IF(AA238="",NA(),$C$9*(0.9-0.35*28/MAX(1,$C$50-1)))</f>
        <v>#N/A</v>
      </c>
      <c r="AE238" t="e">
        <f t="shared" si="51"/>
        <v>#N/A</v>
      </c>
    </row>
    <row r="239" spans="27:31" hidden="1" outlineLevel="1">
      <c r="AA239" t="str">
        <f>IF(AND($X$154="CONVERGED",C50&gt;=30),MAX(0,MIN($C$17,C48-(30-1)*$C$17))&amp;"T"&amp;TEXT($C$15,"0"),"")</f>
        <v/>
      </c>
      <c r="AB239" t="e">
        <f t="shared" si="49"/>
        <v>#N/A</v>
      </c>
      <c r="AC239" t="e">
        <f t="shared" si="50"/>
        <v>#N/A</v>
      </c>
      <c r="AD239" t="e">
        <f>IF(AA239="",NA(),$C$9*(0.9-0.35*29/MAX(1,$C$50-1)))</f>
        <v>#N/A</v>
      </c>
      <c r="AE239" t="e">
        <f t="shared" si="51"/>
        <v>#N/A</v>
      </c>
    </row>
    <row r="240" spans="27:31" hidden="1" outlineLevel="1">
      <c r="AA240" t="str">
        <f>IF(AND($X$154="CONVERGED",C50&gt;=31),MAX(0,MIN($C$17,C48-(31-1)*$C$17))&amp;"T"&amp;TEXT($C$15,"0"),"")</f>
        <v/>
      </c>
      <c r="AB240" t="e">
        <f t="shared" si="49"/>
        <v>#N/A</v>
      </c>
      <c r="AC240" t="e">
        <f t="shared" si="50"/>
        <v>#N/A</v>
      </c>
      <c r="AD240" t="e">
        <f>IF(AA240="",NA(),$C$9*(0.9-0.35*30/MAX(1,$C$50-1)))</f>
        <v>#N/A</v>
      </c>
      <c r="AE240" t="e">
        <f t="shared" si="51"/>
        <v>#N/A</v>
      </c>
    </row>
    <row r="241" spans="27:31" hidden="1" outlineLevel="1">
      <c r="AA241" t="str">
        <f>IF(AND($X$154="CONVERGED",C50&gt;=32),MAX(0,MIN($C$17,C48-(32-1)*$C$17))&amp;"T"&amp;TEXT($C$15,"0"),"")</f>
        <v/>
      </c>
      <c r="AB241" t="e">
        <f t="shared" si="49"/>
        <v>#N/A</v>
      </c>
      <c r="AC241" t="e">
        <f t="shared" si="50"/>
        <v>#N/A</v>
      </c>
      <c r="AD241" t="e">
        <f>IF(AA241="",NA(),$C$9*(0.9-0.35*31/MAX(1,$C$50-1)))</f>
        <v>#N/A</v>
      </c>
      <c r="AE241" t="e">
        <f t="shared" si="51"/>
        <v>#N/A</v>
      </c>
    </row>
    <row r="242" spans="27:31" hidden="1" outlineLevel="1">
      <c r="AA242" t="str">
        <f>IF(AND($X$154="CONVERGED",C50&gt;=33),MAX(0,MIN($C$17,C48-(33-1)*$C$17))&amp;"T"&amp;TEXT($C$15,"0"),"")</f>
        <v/>
      </c>
      <c r="AB242" t="e">
        <f t="shared" ref="AB242:AB273" si="52">IF(AA242="",NA(),$C$13)</f>
        <v>#N/A</v>
      </c>
      <c r="AC242" t="e">
        <f t="shared" ref="AC242:AC273" si="53">IF(AA242="",NA(),$C$7*1000-$C$13)</f>
        <v>#N/A</v>
      </c>
      <c r="AD242" t="e">
        <f>IF(AA242="",NA(),$C$9*(0.9-0.35*32/MAX(1,$C$50-1)))</f>
        <v>#N/A</v>
      </c>
      <c r="AE242" t="e">
        <f t="shared" ref="AE242:AE273" si="54">AD242</f>
        <v>#N/A</v>
      </c>
    </row>
    <row r="243" spans="27:31" hidden="1" outlineLevel="1">
      <c r="AA243" t="str">
        <f>IF(AND($X$154="CONVERGED",C50&gt;=34),MAX(0,MIN($C$17,C48-(34-1)*$C$17))&amp;"T"&amp;TEXT($C$15,"0"),"")</f>
        <v/>
      </c>
      <c r="AB243" t="e">
        <f t="shared" si="52"/>
        <v>#N/A</v>
      </c>
      <c r="AC243" t="e">
        <f t="shared" si="53"/>
        <v>#N/A</v>
      </c>
      <c r="AD243" t="e">
        <f>IF(AA243="",NA(),$C$9*(0.9-0.35*33/MAX(1,$C$50-1)))</f>
        <v>#N/A</v>
      </c>
      <c r="AE243" t="e">
        <f t="shared" si="54"/>
        <v>#N/A</v>
      </c>
    </row>
    <row r="244" spans="27:31" hidden="1" outlineLevel="1">
      <c r="AA244" t="str">
        <f>IF(AND($X$154="CONVERGED",C50&gt;=35),MAX(0,MIN($C$17,C48-(35-1)*$C$17))&amp;"T"&amp;TEXT($C$15,"0"),"")</f>
        <v/>
      </c>
      <c r="AB244" t="e">
        <f t="shared" si="52"/>
        <v>#N/A</v>
      </c>
      <c r="AC244" t="e">
        <f t="shared" si="53"/>
        <v>#N/A</v>
      </c>
      <c r="AD244" t="e">
        <f>IF(AA244="",NA(),$C$9*(0.9-0.35*34/MAX(1,$C$50-1)))</f>
        <v>#N/A</v>
      </c>
      <c r="AE244" t="e">
        <f t="shared" si="54"/>
        <v>#N/A</v>
      </c>
    </row>
    <row r="245" spans="27:31" hidden="1" outlineLevel="1">
      <c r="AA245" t="str">
        <f>IF(AND($X$154="CONVERGED",C50&gt;=36),MAX(0,MIN($C$17,C48-(36-1)*$C$17))&amp;"T"&amp;TEXT($C$15,"0"),"")</f>
        <v/>
      </c>
      <c r="AB245" t="e">
        <f t="shared" si="52"/>
        <v>#N/A</v>
      </c>
      <c r="AC245" t="e">
        <f t="shared" si="53"/>
        <v>#N/A</v>
      </c>
      <c r="AD245" t="e">
        <f>IF(AA245="",NA(),$C$9*(0.9-0.35*35/MAX(1,$C$50-1)))</f>
        <v>#N/A</v>
      </c>
      <c r="AE245" t="e">
        <f t="shared" si="54"/>
        <v>#N/A</v>
      </c>
    </row>
    <row r="246" spans="27:31" hidden="1" outlineLevel="1">
      <c r="AA246" t="str">
        <f>IF(AND($X$154="CONVERGED",C50&gt;=37),MAX(0,MIN($C$17,C48-(37-1)*$C$17))&amp;"T"&amp;TEXT($C$15,"0"),"")</f>
        <v/>
      </c>
      <c r="AB246" t="e">
        <f t="shared" si="52"/>
        <v>#N/A</v>
      </c>
      <c r="AC246" t="e">
        <f t="shared" si="53"/>
        <v>#N/A</v>
      </c>
      <c r="AD246" t="e">
        <f>IF(AA246="",NA(),$C$9*(0.9-0.35*36/MAX(1,$C$50-1)))</f>
        <v>#N/A</v>
      </c>
      <c r="AE246" t="e">
        <f t="shared" si="54"/>
        <v>#N/A</v>
      </c>
    </row>
    <row r="247" spans="27:31" hidden="1" outlineLevel="1">
      <c r="AA247" t="str">
        <f>IF(AND($X$154="CONVERGED",C50&gt;=38),MAX(0,MIN($C$17,C48-(38-1)*$C$17))&amp;"T"&amp;TEXT($C$15,"0"),"")</f>
        <v/>
      </c>
      <c r="AB247" t="e">
        <f t="shared" si="52"/>
        <v>#N/A</v>
      </c>
      <c r="AC247" t="e">
        <f t="shared" si="53"/>
        <v>#N/A</v>
      </c>
      <c r="AD247" t="e">
        <f>IF(AA247="",NA(),$C$9*(0.9-0.35*37/MAX(1,$C$50-1)))</f>
        <v>#N/A</v>
      </c>
      <c r="AE247" t="e">
        <f t="shared" si="54"/>
        <v>#N/A</v>
      </c>
    </row>
    <row r="248" spans="27:31" hidden="1" outlineLevel="1">
      <c r="AA248" t="str">
        <f>IF(AND($X$154="CONVERGED",C50&gt;=39),MAX(0,MIN($C$17,C48-(39-1)*$C$17))&amp;"T"&amp;TEXT($C$15,"0"),"")</f>
        <v/>
      </c>
      <c r="AB248" t="e">
        <f t="shared" si="52"/>
        <v>#N/A</v>
      </c>
      <c r="AC248" t="e">
        <f t="shared" si="53"/>
        <v>#N/A</v>
      </c>
      <c r="AD248" t="e">
        <f>IF(AA248="",NA(),$C$9*(0.9-0.35*38/MAX(1,$C$50-1)))</f>
        <v>#N/A</v>
      </c>
      <c r="AE248" t="e">
        <f t="shared" si="54"/>
        <v>#N/A</v>
      </c>
    </row>
    <row r="249" spans="27:31" hidden="1" outlineLevel="1">
      <c r="AA249" t="str">
        <f>IF(AND($X$154="CONVERGED",C50&gt;=40),MAX(0,MIN($C$17,C48-(40-1)*$C$17))&amp;"T"&amp;TEXT($C$15,"0"),"")</f>
        <v/>
      </c>
      <c r="AB249" t="e">
        <f t="shared" si="52"/>
        <v>#N/A</v>
      </c>
      <c r="AC249" t="e">
        <f t="shared" si="53"/>
        <v>#N/A</v>
      </c>
      <c r="AD249" t="e">
        <f>IF(AA249="",NA(),$C$9*(0.9-0.35*39/MAX(1,$C$50-1)))</f>
        <v>#N/A</v>
      </c>
      <c r="AE249" t="e">
        <f t="shared" si="54"/>
        <v>#N/A</v>
      </c>
    </row>
    <row r="250" spans="27:31" hidden="1" outlineLevel="1">
      <c r="AA250" t="str">
        <f>IF(AND($X$154="CONVERGED",C50&gt;=41),MAX(0,MIN($C$17,C48-(41-1)*$C$17))&amp;"T"&amp;TEXT($C$15,"0"),"")</f>
        <v/>
      </c>
      <c r="AB250" t="e">
        <f t="shared" si="52"/>
        <v>#N/A</v>
      </c>
      <c r="AC250" t="e">
        <f t="shared" si="53"/>
        <v>#N/A</v>
      </c>
      <c r="AD250" t="e">
        <f>IF(AA250="",NA(),$C$9*(0.9-0.35*40/MAX(1,$C$50-1)))</f>
        <v>#N/A</v>
      </c>
      <c r="AE250" t="e">
        <f t="shared" si="54"/>
        <v>#N/A</v>
      </c>
    </row>
    <row r="251" spans="27:31" hidden="1" outlineLevel="1">
      <c r="AA251" t="str">
        <f>IF(AND($X$154="CONVERGED",C50&gt;=42),MAX(0,MIN($C$17,C48-(42-1)*$C$17))&amp;"T"&amp;TEXT($C$15,"0"),"")</f>
        <v/>
      </c>
      <c r="AB251" t="e">
        <f t="shared" si="52"/>
        <v>#N/A</v>
      </c>
      <c r="AC251" t="e">
        <f t="shared" si="53"/>
        <v>#N/A</v>
      </c>
      <c r="AD251" t="e">
        <f>IF(AA251="",NA(),$C$9*(0.9-0.35*41/MAX(1,$C$50-1)))</f>
        <v>#N/A</v>
      </c>
      <c r="AE251" t="e">
        <f t="shared" si="54"/>
        <v>#N/A</v>
      </c>
    </row>
    <row r="252" spans="27:31" hidden="1" outlineLevel="1">
      <c r="AA252" t="str">
        <f>IF(AND($X$154="CONVERGED",C50&gt;=43),MAX(0,MIN($C$17,C48-(43-1)*$C$17))&amp;"T"&amp;TEXT($C$15,"0"),"")</f>
        <v/>
      </c>
      <c r="AB252" t="e">
        <f t="shared" si="52"/>
        <v>#N/A</v>
      </c>
      <c r="AC252" t="e">
        <f t="shared" si="53"/>
        <v>#N/A</v>
      </c>
      <c r="AD252" t="e">
        <f>IF(AA252="",NA(),$C$9*(0.9-0.35*42/MAX(1,$C$50-1)))</f>
        <v>#N/A</v>
      </c>
      <c r="AE252" t="e">
        <f t="shared" si="54"/>
        <v>#N/A</v>
      </c>
    </row>
    <row r="253" spans="27:31" hidden="1" outlineLevel="1">
      <c r="AA253" t="str">
        <f>IF(AND($X$154="CONVERGED",C50&gt;=44),MAX(0,MIN($C$17,C48-(44-1)*$C$17))&amp;"T"&amp;TEXT($C$15,"0"),"")</f>
        <v/>
      </c>
      <c r="AB253" t="e">
        <f t="shared" si="52"/>
        <v>#N/A</v>
      </c>
      <c r="AC253" t="e">
        <f t="shared" si="53"/>
        <v>#N/A</v>
      </c>
      <c r="AD253" t="e">
        <f>IF(AA253="",NA(),$C$9*(0.9-0.35*43/MAX(1,$C$50-1)))</f>
        <v>#N/A</v>
      </c>
      <c r="AE253" t="e">
        <f t="shared" si="54"/>
        <v>#N/A</v>
      </c>
    </row>
    <row r="254" spans="27:31" hidden="1" outlineLevel="1">
      <c r="AA254" t="str">
        <f>IF(AND($X$154="CONVERGED",C50&gt;=45),MAX(0,MIN($C$17,C48-(45-1)*$C$17))&amp;"T"&amp;TEXT($C$15,"0"),"")</f>
        <v/>
      </c>
      <c r="AB254" t="e">
        <f t="shared" si="52"/>
        <v>#N/A</v>
      </c>
      <c r="AC254" t="e">
        <f t="shared" si="53"/>
        <v>#N/A</v>
      </c>
      <c r="AD254" t="e">
        <f>IF(AA254="",NA(),$C$9*(0.9-0.35*44/MAX(1,$C$50-1)))</f>
        <v>#N/A</v>
      </c>
      <c r="AE254" t="e">
        <f t="shared" si="54"/>
        <v>#N/A</v>
      </c>
    </row>
    <row r="255" spans="27:31" hidden="1" outlineLevel="1">
      <c r="AA255" t="str">
        <f>IF(AND($X$154="CONVERGED",C50&gt;=46),MAX(0,MIN($C$17,C48-(46-1)*$C$17))&amp;"T"&amp;TEXT($C$15,"0"),"")</f>
        <v/>
      </c>
      <c r="AB255" t="e">
        <f t="shared" si="52"/>
        <v>#N/A</v>
      </c>
      <c r="AC255" t="e">
        <f t="shared" si="53"/>
        <v>#N/A</v>
      </c>
      <c r="AD255" t="e">
        <f>IF(AA255="",NA(),$C$9*(0.9-0.35*45/MAX(1,$C$50-1)))</f>
        <v>#N/A</v>
      </c>
      <c r="AE255" t="e">
        <f t="shared" si="54"/>
        <v>#N/A</v>
      </c>
    </row>
    <row r="256" spans="27:31" hidden="1" outlineLevel="1">
      <c r="AA256" t="str">
        <f>IF(AND($X$154="CONVERGED",C50&gt;=47),MAX(0,MIN($C$17,C48-(47-1)*$C$17))&amp;"T"&amp;TEXT($C$15,"0"),"")</f>
        <v/>
      </c>
      <c r="AB256" t="e">
        <f t="shared" si="52"/>
        <v>#N/A</v>
      </c>
      <c r="AC256" t="e">
        <f t="shared" si="53"/>
        <v>#N/A</v>
      </c>
      <c r="AD256" t="e">
        <f>IF(AA256="",NA(),$C$9*(0.9-0.35*46/MAX(1,$C$50-1)))</f>
        <v>#N/A</v>
      </c>
      <c r="AE256" t="e">
        <f t="shared" si="54"/>
        <v>#N/A</v>
      </c>
    </row>
    <row r="257" spans="27:31" hidden="1" outlineLevel="1">
      <c r="AA257" t="str">
        <f>IF(AND($X$154="CONVERGED",C50&gt;=48),MAX(0,MIN($C$17,C48-(48-1)*$C$17))&amp;"T"&amp;TEXT($C$15,"0"),"")</f>
        <v/>
      </c>
      <c r="AB257" t="e">
        <f t="shared" si="52"/>
        <v>#N/A</v>
      </c>
      <c r="AC257" t="e">
        <f t="shared" si="53"/>
        <v>#N/A</v>
      </c>
      <c r="AD257" t="e">
        <f>IF(AA257="",NA(),$C$9*(0.9-0.35*47/MAX(1,$C$50-1)))</f>
        <v>#N/A</v>
      </c>
      <c r="AE257" t="e">
        <f t="shared" si="54"/>
        <v>#N/A</v>
      </c>
    </row>
    <row r="258" spans="27:31" hidden="1" outlineLevel="1">
      <c r="AA258" t="str">
        <f>IF(AND($X$154="CONVERGED",C50&gt;=49),MAX(0,MIN($C$17,C48-(49-1)*$C$17))&amp;"T"&amp;TEXT($C$15,"0"),"")</f>
        <v/>
      </c>
      <c r="AB258" t="e">
        <f t="shared" si="52"/>
        <v>#N/A</v>
      </c>
      <c r="AC258" t="e">
        <f t="shared" si="53"/>
        <v>#N/A</v>
      </c>
      <c r="AD258" t="e">
        <f>IF(AA258="",NA(),$C$9*(0.9-0.35*48/MAX(1,$C$50-1)))</f>
        <v>#N/A</v>
      </c>
      <c r="AE258" t="e">
        <f t="shared" si="54"/>
        <v>#N/A</v>
      </c>
    </row>
    <row r="259" spans="27:31" hidden="1" outlineLevel="1">
      <c r="AA259" t="str">
        <f>IF(AND($X$154="CONVERGED",C50&gt;=50),MAX(0,MIN($C$17,C48-(50-1)*$C$17))&amp;"T"&amp;TEXT($C$15,"0"),"")</f>
        <v/>
      </c>
      <c r="AB259" t="e">
        <f t="shared" si="52"/>
        <v>#N/A</v>
      </c>
      <c r="AC259" t="e">
        <f t="shared" si="53"/>
        <v>#N/A</v>
      </c>
      <c r="AD259" t="e">
        <f>IF(AA259="",NA(),$C$9*(0.9-0.35*49/MAX(1,$C$50-1)))</f>
        <v>#N/A</v>
      </c>
      <c r="AE259" t="e">
        <f t="shared" si="54"/>
        <v>#N/A</v>
      </c>
    </row>
    <row r="260" spans="27:31" collapsed="1">
      <c r="AA260" t="str">
        <f>IF(AND($X$154="CONVERGED",C50&gt;=51),MAX(0,MIN($C$17,C48-(51-1)*$C$17))&amp;"T"&amp;TEXT($C$15,"0"),"")</f>
        <v/>
      </c>
      <c r="AB260" t="e">
        <f t="shared" si="52"/>
        <v>#N/A</v>
      </c>
      <c r="AC260" t="e">
        <f t="shared" si="53"/>
        <v>#N/A</v>
      </c>
      <c r="AD260" t="e">
        <f>IF(AA260="",NA(),$C$9*(0.9-0.35*50/MAX(1,$C$50-1)))</f>
        <v>#N/A</v>
      </c>
      <c r="AE260" t="e">
        <f t="shared" si="54"/>
        <v>#N/A</v>
      </c>
    </row>
    <row r="261" spans="27:31">
      <c r="AA261" t="str">
        <f>IF(AND($X$154="CONVERGED",C50&gt;=52),MAX(0,MIN($C$17,C48-(52-1)*$C$17))&amp;"T"&amp;TEXT($C$15,"0"),"")</f>
        <v/>
      </c>
      <c r="AB261" t="e">
        <f t="shared" si="52"/>
        <v>#N/A</v>
      </c>
      <c r="AC261" t="e">
        <f t="shared" si="53"/>
        <v>#N/A</v>
      </c>
      <c r="AD261" t="e">
        <f>IF(AA261="",NA(),$C$9*(0.9-0.35*51/MAX(1,$C$50-1)))</f>
        <v>#N/A</v>
      </c>
      <c r="AE261" t="e">
        <f t="shared" si="54"/>
        <v>#N/A</v>
      </c>
    </row>
    <row r="262" spans="27:31">
      <c r="AA262" t="str">
        <f>IF(AND($X$154="CONVERGED",C50&gt;=53),MAX(0,MIN($C$17,C48-(53-1)*$C$17))&amp;"T"&amp;TEXT($C$15,"0"),"")</f>
        <v/>
      </c>
      <c r="AB262" t="e">
        <f t="shared" si="52"/>
        <v>#N/A</v>
      </c>
      <c r="AC262" t="e">
        <f t="shared" si="53"/>
        <v>#N/A</v>
      </c>
      <c r="AD262" t="e">
        <f>IF(AA262="",NA(),$C$9*(0.9-0.35*52/MAX(1,$C$50-1)))</f>
        <v>#N/A</v>
      </c>
      <c r="AE262" t="e">
        <f t="shared" si="54"/>
        <v>#N/A</v>
      </c>
    </row>
    <row r="263" spans="27:31">
      <c r="AA263" t="str">
        <f>IF(AND($X$154="CONVERGED",C50&gt;=54),MAX(0,MIN($C$17,C48-(54-1)*$C$17))&amp;"T"&amp;TEXT($C$15,"0"),"")</f>
        <v/>
      </c>
      <c r="AB263" t="e">
        <f t="shared" si="52"/>
        <v>#N/A</v>
      </c>
      <c r="AC263" t="e">
        <f t="shared" si="53"/>
        <v>#N/A</v>
      </c>
      <c r="AD263" t="e">
        <f>IF(AA263="",NA(),$C$9*(0.9-0.35*53/MAX(1,$C$50-1)))</f>
        <v>#N/A</v>
      </c>
      <c r="AE263" t="e">
        <f t="shared" si="54"/>
        <v>#N/A</v>
      </c>
    </row>
    <row r="264" spans="27:31">
      <c r="AA264" t="str">
        <f>IF(AND($X$154="CONVERGED",C50&gt;=55),MAX(0,MIN($C$17,C48-(55-1)*$C$17))&amp;"T"&amp;TEXT($C$15,"0"),"")</f>
        <v/>
      </c>
      <c r="AB264" t="e">
        <f t="shared" si="52"/>
        <v>#N/A</v>
      </c>
      <c r="AC264" t="e">
        <f t="shared" si="53"/>
        <v>#N/A</v>
      </c>
      <c r="AD264" t="e">
        <f>IF(AA264="",NA(),$C$9*(0.9-0.35*54/MAX(1,$C$50-1)))</f>
        <v>#N/A</v>
      </c>
      <c r="AE264" t="e">
        <f t="shared" si="54"/>
        <v>#N/A</v>
      </c>
    </row>
    <row r="265" spans="27:31">
      <c r="AA265" t="str">
        <f>IF(AND($X$154="CONVERGED",C50&gt;=56),MAX(0,MIN($C$17,C48-(56-1)*$C$17))&amp;"T"&amp;TEXT($C$15,"0"),"")</f>
        <v/>
      </c>
      <c r="AB265" t="e">
        <f t="shared" si="52"/>
        <v>#N/A</v>
      </c>
      <c r="AC265" t="e">
        <f t="shared" si="53"/>
        <v>#N/A</v>
      </c>
      <c r="AD265" t="e">
        <f>IF(AA265="",NA(),$C$9*(0.9-0.35*55/MAX(1,$C$50-1)))</f>
        <v>#N/A</v>
      </c>
      <c r="AE265" t="e">
        <f t="shared" si="54"/>
        <v>#N/A</v>
      </c>
    </row>
    <row r="266" spans="27:31">
      <c r="AA266" t="str">
        <f>IF(AND($X$154="CONVERGED",C50&gt;=57),MAX(0,MIN($C$17,C48-(57-1)*$C$17))&amp;"T"&amp;TEXT($C$15,"0"),"")</f>
        <v/>
      </c>
      <c r="AB266" t="e">
        <f t="shared" si="52"/>
        <v>#N/A</v>
      </c>
      <c r="AC266" t="e">
        <f t="shared" si="53"/>
        <v>#N/A</v>
      </c>
      <c r="AD266" t="e">
        <f>IF(AA266="",NA(),$C$9*(0.9-0.35*56/MAX(1,$C$50-1)))</f>
        <v>#N/A</v>
      </c>
      <c r="AE266" t="e">
        <f t="shared" si="54"/>
        <v>#N/A</v>
      </c>
    </row>
    <row r="267" spans="27:31">
      <c r="AA267" t="str">
        <f>IF(AND($X$154="CONVERGED",C50&gt;=58),MAX(0,MIN($C$17,C48-(58-1)*$C$17))&amp;"T"&amp;TEXT($C$15,"0"),"")</f>
        <v/>
      </c>
      <c r="AB267" t="e">
        <f t="shared" si="52"/>
        <v>#N/A</v>
      </c>
      <c r="AC267" t="e">
        <f t="shared" si="53"/>
        <v>#N/A</v>
      </c>
      <c r="AD267" t="e">
        <f>IF(AA267="",NA(),$C$9*(0.9-0.35*57/MAX(1,$C$50-1)))</f>
        <v>#N/A</v>
      </c>
      <c r="AE267" t="e">
        <f t="shared" si="54"/>
        <v>#N/A</v>
      </c>
    </row>
    <row r="268" spans="27:31">
      <c r="AA268" t="str">
        <f>IF(AND($X$154="CONVERGED",C50&gt;=59),MAX(0,MIN($C$17,C48-(59-1)*$C$17))&amp;"T"&amp;TEXT($C$15,"0"),"")</f>
        <v/>
      </c>
      <c r="AB268" t="e">
        <f t="shared" si="52"/>
        <v>#N/A</v>
      </c>
      <c r="AC268" t="e">
        <f t="shared" si="53"/>
        <v>#N/A</v>
      </c>
      <c r="AD268" t="e">
        <f>IF(AA268="",NA(),$C$9*(0.9-0.35*58/MAX(1,$C$50-1)))</f>
        <v>#N/A</v>
      </c>
      <c r="AE268" t="e">
        <f t="shared" si="54"/>
        <v>#N/A</v>
      </c>
    </row>
    <row r="269" spans="27:31">
      <c r="AA269" t="str">
        <f>IF(AND($X$154="CONVERGED",C50&gt;=60),MAX(0,MIN($C$17,C48-(60-1)*$C$17))&amp;"T"&amp;TEXT($C$15,"0"),"")</f>
        <v/>
      </c>
      <c r="AB269" t="e">
        <f t="shared" si="52"/>
        <v>#N/A</v>
      </c>
      <c r="AC269" t="e">
        <f t="shared" si="53"/>
        <v>#N/A</v>
      </c>
      <c r="AD269" t="e">
        <f>IF(AA269="",NA(),$C$9*(0.9-0.35*59/MAX(1,$C$50-1)))</f>
        <v>#N/A</v>
      </c>
      <c r="AE269" t="e">
        <f t="shared" si="54"/>
        <v>#N/A</v>
      </c>
    </row>
    <row r="270" spans="27:31">
      <c r="AA270" t="str">
        <f>IF(AND($X$154="CONVERGED",C49&gt;=1),MAX(0,MIN($C$17,C47-(1-1)*$C$17))&amp;"T"&amp;TEXT($C$15,"0"),"")</f>
        <v/>
      </c>
      <c r="AB270" t="e">
        <f t="shared" si="52"/>
        <v>#N/A</v>
      </c>
      <c r="AC270" t="e">
        <f t="shared" si="53"/>
        <v>#N/A</v>
      </c>
      <c r="AD270" t="e">
        <f>IF(AA270="",NA(),$C$9*(0.1+0.35*0/MAX(1,$C$49-1)))</f>
        <v>#N/A</v>
      </c>
      <c r="AE270" t="e">
        <f t="shared" si="54"/>
        <v>#N/A</v>
      </c>
    </row>
    <row r="271" spans="27:31">
      <c r="AA271" t="str">
        <f>IF(AND($X$154="CONVERGED",C49&gt;=2),MAX(0,MIN($C$17,C47-(2-1)*$C$17))&amp;"T"&amp;TEXT($C$15,"0"),"")</f>
        <v/>
      </c>
      <c r="AB271" t="e">
        <f t="shared" si="52"/>
        <v>#N/A</v>
      </c>
      <c r="AC271" t="e">
        <f t="shared" si="53"/>
        <v>#N/A</v>
      </c>
      <c r="AD271" t="e">
        <f>IF(AA271="",NA(),$C$9*(0.1+0.35*1/MAX(1,$C$49-1)))</f>
        <v>#N/A</v>
      </c>
      <c r="AE271" t="e">
        <f t="shared" si="54"/>
        <v>#N/A</v>
      </c>
    </row>
    <row r="272" spans="27:31">
      <c r="AA272" t="str">
        <f>IF(AND($X$154="CONVERGED",C49&gt;=3),MAX(0,MIN($C$17,C47-(3-1)*$C$17))&amp;"T"&amp;TEXT($C$15,"0"),"")</f>
        <v/>
      </c>
      <c r="AB272" t="e">
        <f t="shared" si="52"/>
        <v>#N/A</v>
      </c>
      <c r="AC272" t="e">
        <f t="shared" si="53"/>
        <v>#N/A</v>
      </c>
      <c r="AD272" t="e">
        <f>IF(AA272="",NA(),$C$9*(0.1+0.35*2/MAX(1,$C$49-1)))</f>
        <v>#N/A</v>
      </c>
      <c r="AE272" t="e">
        <f t="shared" si="54"/>
        <v>#N/A</v>
      </c>
    </row>
    <row r="273" spans="27:31">
      <c r="AA273" t="str">
        <f>IF(AND($X$154="CONVERGED",C49&gt;=4),MAX(0,MIN($C$17,C47-(4-1)*$C$17))&amp;"T"&amp;TEXT($C$15,"0"),"")</f>
        <v/>
      </c>
      <c r="AB273" t="e">
        <f t="shared" si="52"/>
        <v>#N/A</v>
      </c>
      <c r="AC273" t="e">
        <f t="shared" si="53"/>
        <v>#N/A</v>
      </c>
      <c r="AD273" t="e">
        <f>IF(AA273="",NA(),$C$9*(0.1+0.35*3/MAX(1,$C$49-1)))</f>
        <v>#N/A</v>
      </c>
      <c r="AE273" t="e">
        <f t="shared" si="54"/>
        <v>#N/A</v>
      </c>
    </row>
    <row r="274" spans="27:31">
      <c r="AA274" t="str">
        <f>IF(AND($X$154="CONVERGED",C49&gt;=5),MAX(0,MIN($C$17,C47-(5-1)*$C$17))&amp;"T"&amp;TEXT($C$15,"0"),"")</f>
        <v/>
      </c>
      <c r="AB274" t="e">
        <f t="shared" ref="AB274:AB305" si="55">IF(AA274="",NA(),$C$13)</f>
        <v>#N/A</v>
      </c>
      <c r="AC274" t="e">
        <f t="shared" ref="AC274:AC305" si="56">IF(AA274="",NA(),$C$7*1000-$C$13)</f>
        <v>#N/A</v>
      </c>
      <c r="AD274" t="e">
        <f>IF(AA274="",NA(),$C$9*(0.1+0.35*4/MAX(1,$C$49-1)))</f>
        <v>#N/A</v>
      </c>
      <c r="AE274" t="e">
        <f t="shared" ref="AE274:AE305" si="57">AD274</f>
        <v>#N/A</v>
      </c>
    </row>
    <row r="275" spans="27:31">
      <c r="AA275" t="str">
        <f>IF(AND($X$154="CONVERGED",C49&gt;=6),MAX(0,MIN($C$17,C47-(6-1)*$C$17))&amp;"T"&amp;TEXT($C$15,"0"),"")</f>
        <v/>
      </c>
      <c r="AB275" t="e">
        <f t="shared" si="55"/>
        <v>#N/A</v>
      </c>
      <c r="AC275" t="e">
        <f t="shared" si="56"/>
        <v>#N/A</v>
      </c>
      <c r="AD275" t="e">
        <f>IF(AA275="",NA(),$C$9*(0.1+0.35*5/MAX(1,$C$49-1)))</f>
        <v>#N/A</v>
      </c>
      <c r="AE275" t="e">
        <f t="shared" si="57"/>
        <v>#N/A</v>
      </c>
    </row>
    <row r="276" spans="27:31">
      <c r="AA276" t="str">
        <f>IF(AND($X$154="CONVERGED",C49&gt;=7),MAX(0,MIN($C$17,C47-(7-1)*$C$17))&amp;"T"&amp;TEXT($C$15,"0"),"")</f>
        <v/>
      </c>
      <c r="AB276" t="e">
        <f t="shared" si="55"/>
        <v>#N/A</v>
      </c>
      <c r="AC276" t="e">
        <f t="shared" si="56"/>
        <v>#N/A</v>
      </c>
      <c r="AD276" t="e">
        <f>IF(AA276="",NA(),$C$9*(0.1+0.35*6/MAX(1,$C$49-1)))</f>
        <v>#N/A</v>
      </c>
      <c r="AE276" t="e">
        <f t="shared" si="57"/>
        <v>#N/A</v>
      </c>
    </row>
    <row r="277" spans="27:31">
      <c r="AA277" t="str">
        <f>IF(AND($X$154="CONVERGED",C49&gt;=8),MAX(0,MIN($C$17,C47-(8-1)*$C$17))&amp;"T"&amp;TEXT($C$15,"0"),"")</f>
        <v/>
      </c>
      <c r="AB277" t="e">
        <f t="shared" si="55"/>
        <v>#N/A</v>
      </c>
      <c r="AC277" t="e">
        <f t="shared" si="56"/>
        <v>#N/A</v>
      </c>
      <c r="AD277" t="e">
        <f>IF(AA277="",NA(),$C$9*(0.1+0.35*7/MAX(1,$C$49-1)))</f>
        <v>#N/A</v>
      </c>
      <c r="AE277" t="e">
        <f t="shared" si="57"/>
        <v>#N/A</v>
      </c>
    </row>
    <row r="278" spans="27:31">
      <c r="AA278" t="str">
        <f>IF(AND($X$154="CONVERGED",C49&gt;=9),MAX(0,MIN($C$17,C47-(9-1)*$C$17))&amp;"T"&amp;TEXT($C$15,"0"),"")</f>
        <v/>
      </c>
      <c r="AB278" t="e">
        <f t="shared" si="55"/>
        <v>#N/A</v>
      </c>
      <c r="AC278" t="e">
        <f t="shared" si="56"/>
        <v>#N/A</v>
      </c>
      <c r="AD278" t="e">
        <f>IF(AA278="",NA(),$C$9*(0.1+0.35*8/MAX(1,$C$49-1)))</f>
        <v>#N/A</v>
      </c>
      <c r="AE278" t="e">
        <f t="shared" si="57"/>
        <v>#N/A</v>
      </c>
    </row>
    <row r="279" spans="27:31">
      <c r="AA279" t="str">
        <f>IF(AND($X$154="CONVERGED",C49&gt;=10),MAX(0,MIN($C$17,C47-(10-1)*$C$17))&amp;"T"&amp;TEXT($C$15,"0"),"")</f>
        <v/>
      </c>
      <c r="AB279" t="e">
        <f t="shared" si="55"/>
        <v>#N/A</v>
      </c>
      <c r="AC279" t="e">
        <f t="shared" si="56"/>
        <v>#N/A</v>
      </c>
      <c r="AD279" t="e">
        <f>IF(AA279="",NA(),$C$9*(0.1+0.35*9/MAX(1,$C$49-1)))</f>
        <v>#N/A</v>
      </c>
      <c r="AE279" t="e">
        <f t="shared" si="57"/>
        <v>#N/A</v>
      </c>
    </row>
    <row r="280" spans="27:31">
      <c r="AA280" t="str">
        <f>IF(AND($X$154="CONVERGED",C49&gt;=11),MAX(0,MIN($C$17,C47-(11-1)*$C$17))&amp;"T"&amp;TEXT($C$15,"0"),"")</f>
        <v/>
      </c>
      <c r="AB280" t="e">
        <f t="shared" si="55"/>
        <v>#N/A</v>
      </c>
      <c r="AC280" t="e">
        <f t="shared" si="56"/>
        <v>#N/A</v>
      </c>
      <c r="AD280" t="e">
        <f>IF(AA280="",NA(),$C$9*(0.1+0.35*10/MAX(1,$C$49-1)))</f>
        <v>#N/A</v>
      </c>
      <c r="AE280" t="e">
        <f t="shared" si="57"/>
        <v>#N/A</v>
      </c>
    </row>
    <row r="281" spans="27:31">
      <c r="AA281" t="str">
        <f>IF(AND($X$154="CONVERGED",C49&gt;=12),MAX(0,MIN($C$17,C47-(12-1)*$C$17))&amp;"T"&amp;TEXT($C$15,"0"),"")</f>
        <v/>
      </c>
      <c r="AB281" t="e">
        <f t="shared" si="55"/>
        <v>#N/A</v>
      </c>
      <c r="AC281" t="e">
        <f t="shared" si="56"/>
        <v>#N/A</v>
      </c>
      <c r="AD281" t="e">
        <f>IF(AA281="",NA(),$C$9*(0.1+0.35*11/MAX(1,$C$49-1)))</f>
        <v>#N/A</v>
      </c>
      <c r="AE281" t="e">
        <f t="shared" si="57"/>
        <v>#N/A</v>
      </c>
    </row>
    <row r="282" spans="27:31">
      <c r="AA282" t="str">
        <f>IF(AND($X$154="CONVERGED",C49&gt;=13),MAX(0,MIN($C$17,C47-(13-1)*$C$17))&amp;"T"&amp;TEXT($C$15,"0"),"")</f>
        <v/>
      </c>
      <c r="AB282" t="e">
        <f t="shared" si="55"/>
        <v>#N/A</v>
      </c>
      <c r="AC282" t="e">
        <f t="shared" si="56"/>
        <v>#N/A</v>
      </c>
      <c r="AD282" t="e">
        <f>IF(AA282="",NA(),$C$9*(0.1+0.35*12/MAX(1,$C$49-1)))</f>
        <v>#N/A</v>
      </c>
      <c r="AE282" t="e">
        <f t="shared" si="57"/>
        <v>#N/A</v>
      </c>
    </row>
    <row r="283" spans="27:31">
      <c r="AA283" t="str">
        <f>IF(AND($X$154="CONVERGED",C49&gt;=14),MAX(0,MIN($C$17,C47-(14-1)*$C$17))&amp;"T"&amp;TEXT($C$15,"0"),"")</f>
        <v/>
      </c>
      <c r="AB283" t="e">
        <f t="shared" si="55"/>
        <v>#N/A</v>
      </c>
      <c r="AC283" t="e">
        <f t="shared" si="56"/>
        <v>#N/A</v>
      </c>
      <c r="AD283" t="e">
        <f>IF(AA283="",NA(),$C$9*(0.1+0.35*13/MAX(1,$C$49-1)))</f>
        <v>#N/A</v>
      </c>
      <c r="AE283" t="e">
        <f t="shared" si="57"/>
        <v>#N/A</v>
      </c>
    </row>
    <row r="284" spans="27:31">
      <c r="AA284" t="str">
        <f>IF(AND($X$154="CONVERGED",C49&gt;=15),MAX(0,MIN($C$17,C47-(15-1)*$C$17))&amp;"T"&amp;TEXT($C$15,"0"),"")</f>
        <v/>
      </c>
      <c r="AB284" t="e">
        <f t="shared" si="55"/>
        <v>#N/A</v>
      </c>
      <c r="AC284" t="e">
        <f t="shared" si="56"/>
        <v>#N/A</v>
      </c>
      <c r="AD284" t="e">
        <f>IF(AA284="",NA(),$C$9*(0.1+0.35*14/MAX(1,$C$49-1)))</f>
        <v>#N/A</v>
      </c>
      <c r="AE284" t="e">
        <f t="shared" si="57"/>
        <v>#N/A</v>
      </c>
    </row>
    <row r="285" spans="27:31">
      <c r="AA285" t="str">
        <f>IF(AND($X$154="CONVERGED",C49&gt;=16),MAX(0,MIN($C$17,C47-(16-1)*$C$17))&amp;"T"&amp;TEXT($C$15,"0"),"")</f>
        <v/>
      </c>
      <c r="AB285" t="e">
        <f t="shared" si="55"/>
        <v>#N/A</v>
      </c>
      <c r="AC285" t="e">
        <f t="shared" si="56"/>
        <v>#N/A</v>
      </c>
      <c r="AD285" t="e">
        <f>IF(AA285="",NA(),$C$9*(0.1+0.35*15/MAX(1,$C$49-1)))</f>
        <v>#N/A</v>
      </c>
      <c r="AE285" t="e">
        <f t="shared" si="57"/>
        <v>#N/A</v>
      </c>
    </row>
    <row r="286" spans="27:31">
      <c r="AA286" t="str">
        <f>IF(AND($X$154="CONVERGED",C49&gt;=17),MAX(0,MIN($C$17,C47-(17-1)*$C$17))&amp;"T"&amp;TEXT($C$15,"0"),"")</f>
        <v/>
      </c>
      <c r="AB286" t="e">
        <f t="shared" si="55"/>
        <v>#N/A</v>
      </c>
      <c r="AC286" t="e">
        <f t="shared" si="56"/>
        <v>#N/A</v>
      </c>
      <c r="AD286" t="e">
        <f>IF(AA286="",NA(),$C$9*(0.1+0.35*16/MAX(1,$C$49-1)))</f>
        <v>#N/A</v>
      </c>
      <c r="AE286" t="e">
        <f t="shared" si="57"/>
        <v>#N/A</v>
      </c>
    </row>
    <row r="287" spans="27:31">
      <c r="AA287" t="str">
        <f>IF(AND($X$154="CONVERGED",C49&gt;=18),MAX(0,MIN($C$17,C47-(18-1)*$C$17))&amp;"T"&amp;TEXT($C$15,"0"),"")</f>
        <v/>
      </c>
      <c r="AB287" t="e">
        <f t="shared" si="55"/>
        <v>#N/A</v>
      </c>
      <c r="AC287" t="e">
        <f t="shared" si="56"/>
        <v>#N/A</v>
      </c>
      <c r="AD287" t="e">
        <f>IF(AA287="",NA(),$C$9*(0.1+0.35*17/MAX(1,$C$49-1)))</f>
        <v>#N/A</v>
      </c>
      <c r="AE287" t="e">
        <f t="shared" si="57"/>
        <v>#N/A</v>
      </c>
    </row>
    <row r="288" spans="27:31">
      <c r="AA288" t="str">
        <f>IF(AND($X$154="CONVERGED",C49&gt;=19),MAX(0,MIN($C$17,C47-(19-1)*$C$17))&amp;"T"&amp;TEXT($C$15,"0"),"")</f>
        <v/>
      </c>
      <c r="AB288" t="e">
        <f t="shared" si="55"/>
        <v>#N/A</v>
      </c>
      <c r="AC288" t="e">
        <f t="shared" si="56"/>
        <v>#N/A</v>
      </c>
      <c r="AD288" t="e">
        <f>IF(AA288="",NA(),$C$9*(0.1+0.35*18/MAX(1,$C$49-1)))</f>
        <v>#N/A</v>
      </c>
      <c r="AE288" t="e">
        <f t="shared" si="57"/>
        <v>#N/A</v>
      </c>
    </row>
    <row r="289" spans="27:31">
      <c r="AA289" t="str">
        <f>IF(AND($X$154="CONVERGED",C49&gt;=20),MAX(0,MIN($C$17,C47-(20-1)*$C$17))&amp;"T"&amp;TEXT($C$15,"0"),"")</f>
        <v/>
      </c>
      <c r="AB289" t="e">
        <f t="shared" si="55"/>
        <v>#N/A</v>
      </c>
      <c r="AC289" t="e">
        <f t="shared" si="56"/>
        <v>#N/A</v>
      </c>
      <c r="AD289" t="e">
        <f>IF(AA289="",NA(),$C$9*(0.1+0.35*19/MAX(1,$C$49-1)))</f>
        <v>#N/A</v>
      </c>
      <c r="AE289" t="e">
        <f t="shared" si="57"/>
        <v>#N/A</v>
      </c>
    </row>
    <row r="290" spans="27:31">
      <c r="AA290" t="str">
        <f>IF(AND($X$154="CONVERGED",C49&gt;=21),MAX(0,MIN($C$17,C47-(21-1)*$C$17))&amp;"T"&amp;TEXT($C$15,"0"),"")</f>
        <v/>
      </c>
      <c r="AB290" t="e">
        <f t="shared" si="55"/>
        <v>#N/A</v>
      </c>
      <c r="AC290" t="e">
        <f t="shared" si="56"/>
        <v>#N/A</v>
      </c>
      <c r="AD290" t="e">
        <f>IF(AA290="",NA(),$C$9*(0.1+0.35*20/MAX(1,$C$49-1)))</f>
        <v>#N/A</v>
      </c>
      <c r="AE290" t="e">
        <f t="shared" si="57"/>
        <v>#N/A</v>
      </c>
    </row>
    <row r="291" spans="27:31">
      <c r="AA291" t="str">
        <f>IF(AND($X$154="CONVERGED",C49&gt;=22),MAX(0,MIN($C$17,C47-(22-1)*$C$17))&amp;"T"&amp;TEXT($C$15,"0"),"")</f>
        <v/>
      </c>
      <c r="AB291" t="e">
        <f t="shared" si="55"/>
        <v>#N/A</v>
      </c>
      <c r="AC291" t="e">
        <f t="shared" si="56"/>
        <v>#N/A</v>
      </c>
      <c r="AD291" t="e">
        <f>IF(AA291="",NA(),$C$9*(0.1+0.35*21/MAX(1,$C$49-1)))</f>
        <v>#N/A</v>
      </c>
      <c r="AE291" t="e">
        <f t="shared" si="57"/>
        <v>#N/A</v>
      </c>
    </row>
    <row r="292" spans="27:31">
      <c r="AA292" t="str">
        <f>IF(AND($X$154="CONVERGED",C49&gt;=23),MAX(0,MIN($C$17,C47-(23-1)*$C$17))&amp;"T"&amp;TEXT($C$15,"0"),"")</f>
        <v/>
      </c>
      <c r="AB292" t="e">
        <f t="shared" si="55"/>
        <v>#N/A</v>
      </c>
      <c r="AC292" t="e">
        <f t="shared" si="56"/>
        <v>#N/A</v>
      </c>
      <c r="AD292" t="e">
        <f>IF(AA292="",NA(),$C$9*(0.1+0.35*22/MAX(1,$C$49-1)))</f>
        <v>#N/A</v>
      </c>
      <c r="AE292" t="e">
        <f t="shared" si="57"/>
        <v>#N/A</v>
      </c>
    </row>
    <row r="293" spans="27:31">
      <c r="AA293" t="str">
        <f>IF(AND($X$154="CONVERGED",C49&gt;=24),MAX(0,MIN($C$17,C47-(24-1)*$C$17))&amp;"T"&amp;TEXT($C$15,"0"),"")</f>
        <v/>
      </c>
      <c r="AB293" t="e">
        <f t="shared" si="55"/>
        <v>#N/A</v>
      </c>
      <c r="AC293" t="e">
        <f t="shared" si="56"/>
        <v>#N/A</v>
      </c>
      <c r="AD293" t="e">
        <f>IF(AA293="",NA(),$C$9*(0.1+0.35*23/MAX(1,$C$49-1)))</f>
        <v>#N/A</v>
      </c>
      <c r="AE293" t="e">
        <f t="shared" si="57"/>
        <v>#N/A</v>
      </c>
    </row>
    <row r="294" spans="27:31">
      <c r="AA294" t="str">
        <f>IF(AND($X$154="CONVERGED",C49&gt;=25),MAX(0,MIN($C$17,C47-(25-1)*$C$17))&amp;"T"&amp;TEXT($C$15,"0"),"")</f>
        <v/>
      </c>
      <c r="AB294" t="e">
        <f t="shared" si="55"/>
        <v>#N/A</v>
      </c>
      <c r="AC294" t="e">
        <f t="shared" si="56"/>
        <v>#N/A</v>
      </c>
      <c r="AD294" t="e">
        <f>IF(AA294="",NA(),$C$9*(0.1+0.35*24/MAX(1,$C$49-1)))</f>
        <v>#N/A</v>
      </c>
      <c r="AE294" t="e">
        <f t="shared" si="57"/>
        <v>#N/A</v>
      </c>
    </row>
    <row r="295" spans="27:31">
      <c r="AA295" t="str">
        <f>IF(AND($X$154="CONVERGED",C49&gt;=26),MAX(0,MIN($C$17,C47-(26-1)*$C$17))&amp;"T"&amp;TEXT($C$15,"0"),"")</f>
        <v/>
      </c>
      <c r="AB295" t="e">
        <f t="shared" si="55"/>
        <v>#N/A</v>
      </c>
      <c r="AC295" t="e">
        <f t="shared" si="56"/>
        <v>#N/A</v>
      </c>
      <c r="AD295" t="e">
        <f>IF(AA295="",NA(),$C$9*(0.1+0.35*25/MAX(1,$C$49-1)))</f>
        <v>#N/A</v>
      </c>
      <c r="AE295" t="e">
        <f t="shared" si="57"/>
        <v>#N/A</v>
      </c>
    </row>
    <row r="296" spans="27:31">
      <c r="AA296" t="str">
        <f>IF(AND($X$154="CONVERGED",C49&gt;=27),MAX(0,MIN($C$17,C47-(27-1)*$C$17))&amp;"T"&amp;TEXT($C$15,"0"),"")</f>
        <v/>
      </c>
      <c r="AB296" t="e">
        <f t="shared" si="55"/>
        <v>#N/A</v>
      </c>
      <c r="AC296" t="e">
        <f t="shared" si="56"/>
        <v>#N/A</v>
      </c>
      <c r="AD296" t="e">
        <f>IF(AA296="",NA(),$C$9*(0.1+0.35*26/MAX(1,$C$49-1)))</f>
        <v>#N/A</v>
      </c>
      <c r="AE296" t="e">
        <f t="shared" si="57"/>
        <v>#N/A</v>
      </c>
    </row>
    <row r="297" spans="27:31">
      <c r="AA297" t="str">
        <f>IF(AND($X$154="CONVERGED",C49&gt;=28),MAX(0,MIN($C$17,C47-(28-1)*$C$17))&amp;"T"&amp;TEXT($C$15,"0"),"")</f>
        <v/>
      </c>
      <c r="AB297" t="e">
        <f t="shared" si="55"/>
        <v>#N/A</v>
      </c>
      <c r="AC297" t="e">
        <f t="shared" si="56"/>
        <v>#N/A</v>
      </c>
      <c r="AD297" t="e">
        <f>IF(AA297="",NA(),$C$9*(0.1+0.35*27/MAX(1,$C$49-1)))</f>
        <v>#N/A</v>
      </c>
      <c r="AE297" t="e">
        <f t="shared" si="57"/>
        <v>#N/A</v>
      </c>
    </row>
    <row r="298" spans="27:31">
      <c r="AA298" t="str">
        <f>IF(AND($X$154="CONVERGED",C49&gt;=29),MAX(0,MIN($C$17,C47-(29-1)*$C$17))&amp;"T"&amp;TEXT($C$15,"0"),"")</f>
        <v/>
      </c>
      <c r="AB298" t="e">
        <f t="shared" si="55"/>
        <v>#N/A</v>
      </c>
      <c r="AC298" t="e">
        <f t="shared" si="56"/>
        <v>#N/A</v>
      </c>
      <c r="AD298" t="e">
        <f>IF(AA298="",NA(),$C$9*(0.1+0.35*28/MAX(1,$C$49-1)))</f>
        <v>#N/A</v>
      </c>
      <c r="AE298" t="e">
        <f t="shared" si="57"/>
        <v>#N/A</v>
      </c>
    </row>
    <row r="299" spans="27:31">
      <c r="AA299" t="str">
        <f>IF(AND($X$154="CONVERGED",C49&gt;=30),MAX(0,MIN($C$17,C47-(30-1)*$C$17))&amp;"T"&amp;TEXT($C$15,"0"),"")</f>
        <v/>
      </c>
      <c r="AB299" t="e">
        <f t="shared" si="55"/>
        <v>#N/A</v>
      </c>
      <c r="AC299" t="e">
        <f t="shared" si="56"/>
        <v>#N/A</v>
      </c>
      <c r="AD299" t="e">
        <f>IF(AA299="",NA(),$C$9*(0.1+0.35*29/MAX(1,$C$49-1)))</f>
        <v>#N/A</v>
      </c>
      <c r="AE299" t="e">
        <f t="shared" si="57"/>
        <v>#N/A</v>
      </c>
    </row>
    <row r="300" spans="27:31">
      <c r="AA300" t="str">
        <f>IF(AND($X$154="CONVERGED",C49&gt;=31),MAX(0,MIN($C$17,C47-(31-1)*$C$17))&amp;"T"&amp;TEXT($C$15,"0"),"")</f>
        <v/>
      </c>
      <c r="AB300" t="e">
        <f t="shared" si="55"/>
        <v>#N/A</v>
      </c>
      <c r="AC300" t="e">
        <f t="shared" si="56"/>
        <v>#N/A</v>
      </c>
      <c r="AD300" t="e">
        <f>IF(AA300="",NA(),$C$9*(0.1+0.35*30/MAX(1,$C$49-1)))</f>
        <v>#N/A</v>
      </c>
      <c r="AE300" t="e">
        <f t="shared" si="57"/>
        <v>#N/A</v>
      </c>
    </row>
    <row r="301" spans="27:31">
      <c r="AA301" t="str">
        <f>IF(AND($X$154="CONVERGED",C49&gt;=32),MAX(0,MIN($C$17,C47-(32-1)*$C$17))&amp;"T"&amp;TEXT($C$15,"0"),"")</f>
        <v/>
      </c>
      <c r="AB301" t="e">
        <f t="shared" si="55"/>
        <v>#N/A</v>
      </c>
      <c r="AC301" t="e">
        <f t="shared" si="56"/>
        <v>#N/A</v>
      </c>
      <c r="AD301" t="e">
        <f>IF(AA301="",NA(),$C$9*(0.1+0.35*31/MAX(1,$C$49-1)))</f>
        <v>#N/A</v>
      </c>
      <c r="AE301" t="e">
        <f t="shared" si="57"/>
        <v>#N/A</v>
      </c>
    </row>
    <row r="302" spans="27:31">
      <c r="AA302" t="str">
        <f>IF(AND($X$154="CONVERGED",C49&gt;=33),MAX(0,MIN($C$17,C47-(33-1)*$C$17))&amp;"T"&amp;TEXT($C$15,"0"),"")</f>
        <v/>
      </c>
      <c r="AB302" t="e">
        <f t="shared" si="55"/>
        <v>#N/A</v>
      </c>
      <c r="AC302" t="e">
        <f t="shared" si="56"/>
        <v>#N/A</v>
      </c>
      <c r="AD302" t="e">
        <f>IF(AA302="",NA(),$C$9*(0.1+0.35*32/MAX(1,$C$49-1)))</f>
        <v>#N/A</v>
      </c>
      <c r="AE302" t="e">
        <f t="shared" si="57"/>
        <v>#N/A</v>
      </c>
    </row>
    <row r="303" spans="27:31">
      <c r="AA303" t="str">
        <f>IF(AND($X$154="CONVERGED",C49&gt;=34),MAX(0,MIN($C$17,C47-(34-1)*$C$17))&amp;"T"&amp;TEXT($C$15,"0"),"")</f>
        <v/>
      </c>
      <c r="AB303" t="e">
        <f t="shared" si="55"/>
        <v>#N/A</v>
      </c>
      <c r="AC303" t="e">
        <f t="shared" si="56"/>
        <v>#N/A</v>
      </c>
      <c r="AD303" t="e">
        <f>IF(AA303="",NA(),$C$9*(0.1+0.35*33/MAX(1,$C$49-1)))</f>
        <v>#N/A</v>
      </c>
      <c r="AE303" t="e">
        <f t="shared" si="57"/>
        <v>#N/A</v>
      </c>
    </row>
    <row r="304" spans="27:31">
      <c r="AA304" t="str">
        <f>IF(AND($X$154="CONVERGED",C49&gt;=35),MAX(0,MIN($C$17,C47-(35-1)*$C$17))&amp;"T"&amp;TEXT($C$15,"0"),"")</f>
        <v/>
      </c>
      <c r="AB304" t="e">
        <f t="shared" si="55"/>
        <v>#N/A</v>
      </c>
      <c r="AC304" t="e">
        <f t="shared" si="56"/>
        <v>#N/A</v>
      </c>
      <c r="AD304" t="e">
        <f>IF(AA304="",NA(),$C$9*(0.1+0.35*34/MAX(1,$C$49-1)))</f>
        <v>#N/A</v>
      </c>
      <c r="AE304" t="e">
        <f t="shared" si="57"/>
        <v>#N/A</v>
      </c>
    </row>
    <row r="305" spans="27:31">
      <c r="AA305" t="str">
        <f>IF(AND($X$154="CONVERGED",C49&gt;=36),MAX(0,MIN($C$17,C47-(36-1)*$C$17))&amp;"T"&amp;TEXT($C$15,"0"),"")</f>
        <v/>
      </c>
      <c r="AB305" t="e">
        <f t="shared" si="55"/>
        <v>#N/A</v>
      </c>
      <c r="AC305" t="e">
        <f t="shared" si="56"/>
        <v>#N/A</v>
      </c>
      <c r="AD305" t="e">
        <f>IF(AA305="",NA(),$C$9*(0.1+0.35*35/MAX(1,$C$49-1)))</f>
        <v>#N/A</v>
      </c>
      <c r="AE305" t="e">
        <f t="shared" si="57"/>
        <v>#N/A</v>
      </c>
    </row>
    <row r="306" spans="27:31">
      <c r="AA306" t="str">
        <f>IF(AND($X$154="CONVERGED",C49&gt;=37),MAX(0,MIN($C$17,C47-(37-1)*$C$17))&amp;"T"&amp;TEXT($C$15,"0"),"")</f>
        <v/>
      </c>
      <c r="AB306" t="e">
        <f t="shared" ref="AB306:AB329" si="58">IF(AA306="",NA(),$C$13)</f>
        <v>#N/A</v>
      </c>
      <c r="AC306" t="e">
        <f t="shared" ref="AC306:AC329" si="59">IF(AA306="",NA(),$C$7*1000-$C$13)</f>
        <v>#N/A</v>
      </c>
      <c r="AD306" t="e">
        <f>IF(AA306="",NA(),$C$9*(0.1+0.35*36/MAX(1,$C$49-1)))</f>
        <v>#N/A</v>
      </c>
      <c r="AE306" t="e">
        <f t="shared" ref="AE306:AE329" si="60">AD306</f>
        <v>#N/A</v>
      </c>
    </row>
    <row r="307" spans="27:31">
      <c r="AA307" t="str">
        <f>IF(AND($X$154="CONVERGED",C49&gt;=38),MAX(0,MIN($C$17,C47-(38-1)*$C$17))&amp;"T"&amp;TEXT($C$15,"0"),"")</f>
        <v/>
      </c>
      <c r="AB307" t="e">
        <f t="shared" si="58"/>
        <v>#N/A</v>
      </c>
      <c r="AC307" t="e">
        <f t="shared" si="59"/>
        <v>#N/A</v>
      </c>
      <c r="AD307" t="e">
        <f>IF(AA307="",NA(),$C$9*(0.1+0.35*37/MAX(1,$C$49-1)))</f>
        <v>#N/A</v>
      </c>
      <c r="AE307" t="e">
        <f t="shared" si="60"/>
        <v>#N/A</v>
      </c>
    </row>
    <row r="308" spans="27:31">
      <c r="AA308" t="str">
        <f>IF(AND($X$154="CONVERGED",C49&gt;=39),MAX(0,MIN($C$17,C47-(39-1)*$C$17))&amp;"T"&amp;TEXT($C$15,"0"),"")</f>
        <v/>
      </c>
      <c r="AB308" t="e">
        <f t="shared" si="58"/>
        <v>#N/A</v>
      </c>
      <c r="AC308" t="e">
        <f t="shared" si="59"/>
        <v>#N/A</v>
      </c>
      <c r="AD308" t="e">
        <f>IF(AA308="",NA(),$C$9*(0.1+0.35*38/MAX(1,$C$49-1)))</f>
        <v>#N/A</v>
      </c>
      <c r="AE308" t="e">
        <f t="shared" si="60"/>
        <v>#N/A</v>
      </c>
    </row>
    <row r="309" spans="27:31">
      <c r="AA309" t="str">
        <f>IF(AND($X$154="CONVERGED",C49&gt;=40),MAX(0,MIN($C$17,C47-(40-1)*$C$17))&amp;"T"&amp;TEXT($C$15,"0"),"")</f>
        <v/>
      </c>
      <c r="AB309" t="e">
        <f t="shared" si="58"/>
        <v>#N/A</v>
      </c>
      <c r="AC309" t="e">
        <f t="shared" si="59"/>
        <v>#N/A</v>
      </c>
      <c r="AD309" t="e">
        <f>IF(AA309="",NA(),$C$9*(0.1+0.35*39/MAX(1,$C$49-1)))</f>
        <v>#N/A</v>
      </c>
      <c r="AE309" t="e">
        <f t="shared" si="60"/>
        <v>#N/A</v>
      </c>
    </row>
    <row r="310" spans="27:31">
      <c r="AA310" t="str">
        <f>IF(AND($X$154="CONVERGED",C49&gt;=41),MAX(0,MIN($C$17,C47-(41-1)*$C$17))&amp;"T"&amp;TEXT($C$15,"0"),"")</f>
        <v/>
      </c>
      <c r="AB310" t="e">
        <f t="shared" si="58"/>
        <v>#N/A</v>
      </c>
      <c r="AC310" t="e">
        <f t="shared" si="59"/>
        <v>#N/A</v>
      </c>
      <c r="AD310" t="e">
        <f>IF(AA310="",NA(),$C$9*(0.1+0.35*40/MAX(1,$C$49-1)))</f>
        <v>#N/A</v>
      </c>
      <c r="AE310" t="e">
        <f t="shared" si="60"/>
        <v>#N/A</v>
      </c>
    </row>
    <row r="311" spans="27:31">
      <c r="AA311" t="str">
        <f>IF(AND($X$154="CONVERGED",C49&gt;=42),MAX(0,MIN($C$17,C47-(42-1)*$C$17))&amp;"T"&amp;TEXT($C$15,"0"),"")</f>
        <v/>
      </c>
      <c r="AB311" t="e">
        <f t="shared" si="58"/>
        <v>#N/A</v>
      </c>
      <c r="AC311" t="e">
        <f t="shared" si="59"/>
        <v>#N/A</v>
      </c>
      <c r="AD311" t="e">
        <f>IF(AA311="",NA(),$C$9*(0.1+0.35*41/MAX(1,$C$49-1)))</f>
        <v>#N/A</v>
      </c>
      <c r="AE311" t="e">
        <f t="shared" si="60"/>
        <v>#N/A</v>
      </c>
    </row>
    <row r="312" spans="27:31">
      <c r="AA312" t="str">
        <f>IF(AND($X$154="CONVERGED",C49&gt;=43),MAX(0,MIN($C$17,C47-(43-1)*$C$17))&amp;"T"&amp;TEXT($C$15,"0"),"")</f>
        <v/>
      </c>
      <c r="AB312" t="e">
        <f t="shared" si="58"/>
        <v>#N/A</v>
      </c>
      <c r="AC312" t="e">
        <f t="shared" si="59"/>
        <v>#N/A</v>
      </c>
      <c r="AD312" t="e">
        <f>IF(AA312="",NA(),$C$9*(0.1+0.35*42/MAX(1,$C$49-1)))</f>
        <v>#N/A</v>
      </c>
      <c r="AE312" t="e">
        <f t="shared" si="60"/>
        <v>#N/A</v>
      </c>
    </row>
    <row r="313" spans="27:31">
      <c r="AA313" t="str">
        <f>IF(AND($X$154="CONVERGED",C49&gt;=44),MAX(0,MIN($C$17,C47-(44-1)*$C$17))&amp;"T"&amp;TEXT($C$15,"0"),"")</f>
        <v/>
      </c>
      <c r="AB313" t="e">
        <f t="shared" si="58"/>
        <v>#N/A</v>
      </c>
      <c r="AC313" t="e">
        <f t="shared" si="59"/>
        <v>#N/A</v>
      </c>
      <c r="AD313" t="e">
        <f>IF(AA313="",NA(),$C$9*(0.1+0.35*43/MAX(1,$C$49-1)))</f>
        <v>#N/A</v>
      </c>
      <c r="AE313" t="e">
        <f t="shared" si="60"/>
        <v>#N/A</v>
      </c>
    </row>
    <row r="314" spans="27:31">
      <c r="AA314" t="str">
        <f>IF(AND($X$154="CONVERGED",C49&gt;=45),MAX(0,MIN($C$17,C47-(45-1)*$C$17))&amp;"T"&amp;TEXT($C$15,"0"),"")</f>
        <v/>
      </c>
      <c r="AB314" t="e">
        <f t="shared" si="58"/>
        <v>#N/A</v>
      </c>
      <c r="AC314" t="e">
        <f t="shared" si="59"/>
        <v>#N/A</v>
      </c>
      <c r="AD314" t="e">
        <f>IF(AA314="",NA(),$C$9*(0.1+0.35*44/MAX(1,$C$49-1)))</f>
        <v>#N/A</v>
      </c>
      <c r="AE314" t="e">
        <f t="shared" si="60"/>
        <v>#N/A</v>
      </c>
    </row>
    <row r="315" spans="27:31">
      <c r="AA315" t="str">
        <f>IF(AND($X$154="CONVERGED",C49&gt;=46),MAX(0,MIN($C$17,C47-(46-1)*$C$17))&amp;"T"&amp;TEXT($C$15,"0"),"")</f>
        <v/>
      </c>
      <c r="AB315" t="e">
        <f t="shared" si="58"/>
        <v>#N/A</v>
      </c>
      <c r="AC315" t="e">
        <f t="shared" si="59"/>
        <v>#N/A</v>
      </c>
      <c r="AD315" t="e">
        <f>IF(AA315="",NA(),$C$9*(0.1+0.35*45/MAX(1,$C$49-1)))</f>
        <v>#N/A</v>
      </c>
      <c r="AE315" t="e">
        <f t="shared" si="60"/>
        <v>#N/A</v>
      </c>
    </row>
    <row r="316" spans="27:31">
      <c r="AA316" t="str">
        <f>IF(AND($X$154="CONVERGED",C49&gt;=47),MAX(0,MIN($C$17,C47-(47-1)*$C$17))&amp;"T"&amp;TEXT($C$15,"0"),"")</f>
        <v/>
      </c>
      <c r="AB316" t="e">
        <f t="shared" si="58"/>
        <v>#N/A</v>
      </c>
      <c r="AC316" t="e">
        <f t="shared" si="59"/>
        <v>#N/A</v>
      </c>
      <c r="AD316" t="e">
        <f>IF(AA316="",NA(),$C$9*(0.1+0.35*46/MAX(1,$C$49-1)))</f>
        <v>#N/A</v>
      </c>
      <c r="AE316" t="e">
        <f t="shared" si="60"/>
        <v>#N/A</v>
      </c>
    </row>
    <row r="317" spans="27:31">
      <c r="AA317" t="str">
        <f>IF(AND($X$154="CONVERGED",C49&gt;=48),MAX(0,MIN($C$17,C47-(48-1)*$C$17))&amp;"T"&amp;TEXT($C$15,"0"),"")</f>
        <v/>
      </c>
      <c r="AB317" t="e">
        <f t="shared" si="58"/>
        <v>#N/A</v>
      </c>
      <c r="AC317" t="e">
        <f t="shared" si="59"/>
        <v>#N/A</v>
      </c>
      <c r="AD317" t="e">
        <f>IF(AA317="",NA(),$C$9*(0.1+0.35*47/MAX(1,$C$49-1)))</f>
        <v>#N/A</v>
      </c>
      <c r="AE317" t="e">
        <f t="shared" si="60"/>
        <v>#N/A</v>
      </c>
    </row>
    <row r="318" spans="27:31">
      <c r="AA318" t="str">
        <f>IF(AND($X$154="CONVERGED",C49&gt;=49),MAX(0,MIN($C$17,C47-(49-1)*$C$17))&amp;"T"&amp;TEXT($C$15,"0"),"")</f>
        <v/>
      </c>
      <c r="AB318" t="e">
        <f t="shared" si="58"/>
        <v>#N/A</v>
      </c>
      <c r="AC318" t="e">
        <f t="shared" si="59"/>
        <v>#N/A</v>
      </c>
      <c r="AD318" t="e">
        <f>IF(AA318="",NA(),$C$9*(0.1+0.35*48/MAX(1,$C$49-1)))</f>
        <v>#N/A</v>
      </c>
      <c r="AE318" t="e">
        <f t="shared" si="60"/>
        <v>#N/A</v>
      </c>
    </row>
    <row r="319" spans="27:31">
      <c r="AA319" t="str">
        <f>IF(AND($X$154="CONVERGED",C49&gt;=50),MAX(0,MIN($C$17,C47-(50-1)*$C$17))&amp;"T"&amp;TEXT($C$15,"0"),"")</f>
        <v/>
      </c>
      <c r="AB319" t="e">
        <f t="shared" si="58"/>
        <v>#N/A</v>
      </c>
      <c r="AC319" t="e">
        <f t="shared" si="59"/>
        <v>#N/A</v>
      </c>
      <c r="AD319" t="e">
        <f>IF(AA319="",NA(),$C$9*(0.1+0.35*49/MAX(1,$C$49-1)))</f>
        <v>#N/A</v>
      </c>
      <c r="AE319" t="e">
        <f t="shared" si="60"/>
        <v>#N/A</v>
      </c>
    </row>
    <row r="320" spans="27:31">
      <c r="AA320" t="str">
        <f>IF(AND($X$154="CONVERGED",C49&gt;=51),MAX(0,MIN($C$17,C47-(51-1)*$C$17))&amp;"T"&amp;TEXT($C$15,"0"),"")</f>
        <v/>
      </c>
      <c r="AB320" t="e">
        <f t="shared" si="58"/>
        <v>#N/A</v>
      </c>
      <c r="AC320" t="e">
        <f t="shared" si="59"/>
        <v>#N/A</v>
      </c>
      <c r="AD320" t="e">
        <f>IF(AA320="",NA(),$C$9*(0.1+0.35*50/MAX(1,$C$49-1)))</f>
        <v>#N/A</v>
      </c>
      <c r="AE320" t="e">
        <f t="shared" si="60"/>
        <v>#N/A</v>
      </c>
    </row>
    <row r="321" spans="27:31">
      <c r="AA321" t="str">
        <f>IF(AND($X$154="CONVERGED",C49&gt;=52),MAX(0,MIN($C$17,C47-(52-1)*$C$17))&amp;"T"&amp;TEXT($C$15,"0"),"")</f>
        <v/>
      </c>
      <c r="AB321" t="e">
        <f t="shared" si="58"/>
        <v>#N/A</v>
      </c>
      <c r="AC321" t="e">
        <f t="shared" si="59"/>
        <v>#N/A</v>
      </c>
      <c r="AD321" t="e">
        <f>IF(AA321="",NA(),$C$9*(0.1+0.35*51/MAX(1,$C$49-1)))</f>
        <v>#N/A</v>
      </c>
      <c r="AE321" t="e">
        <f t="shared" si="60"/>
        <v>#N/A</v>
      </c>
    </row>
    <row r="322" spans="27:31">
      <c r="AA322" t="str">
        <f>IF(AND($X$154="CONVERGED",C49&gt;=53),MAX(0,MIN($C$17,C47-(53-1)*$C$17))&amp;"T"&amp;TEXT($C$15,"0"),"")</f>
        <v/>
      </c>
      <c r="AB322" t="e">
        <f t="shared" si="58"/>
        <v>#N/A</v>
      </c>
      <c r="AC322" t="e">
        <f t="shared" si="59"/>
        <v>#N/A</v>
      </c>
      <c r="AD322" t="e">
        <f>IF(AA322="",NA(),$C$9*(0.1+0.35*52/MAX(1,$C$49-1)))</f>
        <v>#N/A</v>
      </c>
      <c r="AE322" t="e">
        <f t="shared" si="60"/>
        <v>#N/A</v>
      </c>
    </row>
    <row r="323" spans="27:31">
      <c r="AA323" t="str">
        <f>IF(AND($X$154="CONVERGED",C49&gt;=54),MAX(0,MIN($C$17,C47-(54-1)*$C$17))&amp;"T"&amp;TEXT($C$15,"0"),"")</f>
        <v/>
      </c>
      <c r="AB323" t="e">
        <f t="shared" si="58"/>
        <v>#N/A</v>
      </c>
      <c r="AC323" t="e">
        <f t="shared" si="59"/>
        <v>#N/A</v>
      </c>
      <c r="AD323" t="e">
        <f>IF(AA323="",NA(),$C$9*(0.1+0.35*53/MAX(1,$C$49-1)))</f>
        <v>#N/A</v>
      </c>
      <c r="AE323" t="e">
        <f t="shared" si="60"/>
        <v>#N/A</v>
      </c>
    </row>
    <row r="324" spans="27:31">
      <c r="AA324" t="str">
        <f>IF(AND($X$154="CONVERGED",C49&gt;=55),MAX(0,MIN($C$17,C47-(55-1)*$C$17))&amp;"T"&amp;TEXT($C$15,"0"),"")</f>
        <v/>
      </c>
      <c r="AB324" t="e">
        <f t="shared" si="58"/>
        <v>#N/A</v>
      </c>
      <c r="AC324" t="e">
        <f t="shared" si="59"/>
        <v>#N/A</v>
      </c>
      <c r="AD324" t="e">
        <f>IF(AA324="",NA(),$C$9*(0.1+0.35*54/MAX(1,$C$49-1)))</f>
        <v>#N/A</v>
      </c>
      <c r="AE324" t="e">
        <f t="shared" si="60"/>
        <v>#N/A</v>
      </c>
    </row>
    <row r="325" spans="27:31">
      <c r="AA325" t="str">
        <f>IF(AND($X$154="CONVERGED",C49&gt;=56),MAX(0,MIN($C$17,C47-(56-1)*$C$17))&amp;"T"&amp;TEXT($C$15,"0"),"")</f>
        <v/>
      </c>
      <c r="AB325" t="e">
        <f t="shared" si="58"/>
        <v>#N/A</v>
      </c>
      <c r="AC325" t="e">
        <f t="shared" si="59"/>
        <v>#N/A</v>
      </c>
      <c r="AD325" t="e">
        <f>IF(AA325="",NA(),$C$9*(0.1+0.35*55/MAX(1,$C$49-1)))</f>
        <v>#N/A</v>
      </c>
      <c r="AE325" t="e">
        <f t="shared" si="60"/>
        <v>#N/A</v>
      </c>
    </row>
    <row r="326" spans="27:31">
      <c r="AA326" t="str">
        <f>IF(AND($X$154="CONVERGED",C49&gt;=57),MAX(0,MIN($C$17,C47-(57-1)*$C$17))&amp;"T"&amp;TEXT($C$15,"0"),"")</f>
        <v/>
      </c>
      <c r="AB326" t="e">
        <f t="shared" si="58"/>
        <v>#N/A</v>
      </c>
      <c r="AC326" t="e">
        <f t="shared" si="59"/>
        <v>#N/A</v>
      </c>
      <c r="AD326" t="e">
        <f>IF(AA326="",NA(),$C$9*(0.1+0.35*56/MAX(1,$C$49-1)))</f>
        <v>#N/A</v>
      </c>
      <c r="AE326" t="e">
        <f t="shared" si="60"/>
        <v>#N/A</v>
      </c>
    </row>
    <row r="327" spans="27:31">
      <c r="AA327" t="str">
        <f>IF(AND($X$154="CONVERGED",C49&gt;=58),MAX(0,MIN($C$17,C47-(58-1)*$C$17))&amp;"T"&amp;TEXT($C$15,"0"),"")</f>
        <v/>
      </c>
      <c r="AB327" t="e">
        <f t="shared" si="58"/>
        <v>#N/A</v>
      </c>
      <c r="AC327" t="e">
        <f t="shared" si="59"/>
        <v>#N/A</v>
      </c>
      <c r="AD327" t="e">
        <f>IF(AA327="",NA(),$C$9*(0.1+0.35*57/MAX(1,$C$49-1)))</f>
        <v>#N/A</v>
      </c>
      <c r="AE327" t="e">
        <f t="shared" si="60"/>
        <v>#N/A</v>
      </c>
    </row>
    <row r="328" spans="27:31">
      <c r="AA328" t="str">
        <f>IF(AND($X$154="CONVERGED",C49&gt;=59),MAX(0,MIN($C$17,C47-(59-1)*$C$17))&amp;"T"&amp;TEXT($C$15,"0"),"")</f>
        <v/>
      </c>
      <c r="AB328" t="e">
        <f t="shared" si="58"/>
        <v>#N/A</v>
      </c>
      <c r="AC328" t="e">
        <f t="shared" si="59"/>
        <v>#N/A</v>
      </c>
      <c r="AD328" t="e">
        <f>IF(AA328="",NA(),$C$9*(0.1+0.35*58/MAX(1,$C$49-1)))</f>
        <v>#N/A</v>
      </c>
      <c r="AE328" t="e">
        <f t="shared" si="60"/>
        <v>#N/A</v>
      </c>
    </row>
    <row r="329" spans="27:31">
      <c r="AA329" t="str">
        <f>IF(AND($X$154="CONVERGED",C49&gt;=60),MAX(0,MIN($C$17,C47-(60-1)*$C$17))&amp;"T"&amp;TEXT($C$15,"0"),"")</f>
        <v/>
      </c>
      <c r="AB329" t="e">
        <f t="shared" si="58"/>
        <v>#N/A</v>
      </c>
      <c r="AC329" t="e">
        <f t="shared" si="59"/>
        <v>#N/A</v>
      </c>
      <c r="AD329" t="e">
        <f>IF(AA329="",NA(),$C$9*(0.1+0.35*59/MAX(1,$C$49-1)))</f>
        <v>#N/A</v>
      </c>
      <c r="AE329" t="e">
        <f t="shared" si="60"/>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1,000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I70:K70"/>
    <mergeCell ref="A340:F340"/>
    <mergeCell ref="A341:F341"/>
    <mergeCell ref="A342:F342"/>
    <mergeCell ref="A196:E196"/>
    <mergeCell ref="A81:E81"/>
    <mergeCell ref="G71:H71"/>
    <mergeCell ref="I71:K71"/>
    <mergeCell ref="G72:H72"/>
    <mergeCell ref="I72:K72"/>
    <mergeCell ref="G74:P74"/>
    <mergeCell ref="G75:P75"/>
    <mergeCell ref="G89:P89"/>
    <mergeCell ref="A83:E83"/>
    <mergeCell ref="I24:N24"/>
    <mergeCell ref="I25:N25"/>
    <mergeCell ref="I51:N51"/>
    <mergeCell ref="I64:K64"/>
    <mergeCell ref="G65:H65"/>
    <mergeCell ref="I63:K63"/>
    <mergeCell ref="A3:E3"/>
    <mergeCell ref="A76:E76"/>
    <mergeCell ref="A78:E78"/>
    <mergeCell ref="G61:H61"/>
    <mergeCell ref="I61:K61"/>
    <mergeCell ref="G62:H62"/>
    <mergeCell ref="I62:K62"/>
    <mergeCell ref="G63:H63"/>
    <mergeCell ref="G54:P54"/>
    <mergeCell ref="G57:K57"/>
    <mergeCell ref="G59:H59"/>
    <mergeCell ref="I59:K59"/>
    <mergeCell ref="G60:H60"/>
    <mergeCell ref="I60:K60"/>
    <mergeCell ref="G64:H64"/>
    <mergeCell ref="G69:H69"/>
    <mergeCell ref="G160:P160"/>
    <mergeCell ref="G161:P161"/>
    <mergeCell ref="A92:X92"/>
    <mergeCell ref="G85:P85"/>
    <mergeCell ref="G87:P87"/>
    <mergeCell ref="G88:P88"/>
    <mergeCell ref="A80:E80"/>
    <mergeCell ref="I65:K65"/>
    <mergeCell ref="G66:H66"/>
    <mergeCell ref="I66:K66"/>
    <mergeCell ref="G76:P76"/>
    <mergeCell ref="G78:P78"/>
    <mergeCell ref="I67:K67"/>
    <mergeCell ref="G68:H68"/>
    <mergeCell ref="I68:K68"/>
    <mergeCell ref="G77:P77"/>
    <mergeCell ref="I69:K69"/>
    <mergeCell ref="G70:H70"/>
    <mergeCell ref="G67:H67"/>
    <mergeCell ref="G186:P186"/>
    <mergeCell ref="G188:P188"/>
    <mergeCell ref="G171:P171"/>
    <mergeCell ref="J173:P173"/>
    <mergeCell ref="J175:P175"/>
  </mergeCells>
  <phoneticPr fontId="10" type="noConversion"/>
  <dataValidations count="1">
    <dataValidation type="whole" sqref="C4" xr:uid="{BD5995AB-1838-45C7-8F92-0EDD3C8CBBFC}">
      <formula1>6</formula1>
      <formula2>25</formula2>
    </dataValidation>
  </dataValidations>
  <hyperlinks>
    <hyperlink ref="E24" location="'Transfer Beam Check'!G160" display="'Transfer Beam Check'!G160" xr:uid="{02AE3509-C2D9-434A-86FA-025D474D420E}"/>
    <hyperlink ref="A342" location="'section b column check'!A1" display="Column design moved to section b column check" xr:uid="{EA022CEF-7AE9-46DD-9450-3CC3B953BF18}"/>
    <hyperlink ref="A196" location="'section b column check'!A1" display="Column design moved to section b column check" xr:uid="{2F0B60A6-0FFF-4F62-B291-E6ECEC7F4703}"/>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0F-14C2-4891-BB2C-ADBC8D6DE44D}">
  <sheetPr codeName="Sheet15">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742</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Main Beam Design'!C9,'_Input Engine'!$A$61:$A$80,0)+5,0)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Main Beam Design'!C9="","",'Section B Main Beam Design'!C9)</f>
        <v>MB1</v>
      </c>
      <c r="D6" s="47"/>
      <c r="E6" s="48" t="s">
        <v>108</v>
      </c>
      <c r="F6" s="47"/>
      <c r="G6" s="47"/>
      <c r="H6" s="47"/>
      <c r="I6" s="47"/>
      <c r="J6" s="47"/>
      <c r="K6" s="47"/>
      <c r="L6" s="47"/>
      <c r="M6" s="47"/>
      <c r="N6" s="47"/>
      <c r="O6" s="47"/>
      <c r="P6" s="47"/>
      <c r="Q6" s="47"/>
      <c r="R6" s="47"/>
      <c r="S6" s="47"/>
      <c r="T6" s="47"/>
      <c r="U6" s="47"/>
      <c r="V6" s="47"/>
      <c r="W6" s="47"/>
      <c r="X6" s="47"/>
      <c r="BA6" t="s">
        <v>828</v>
      </c>
      <c r="BB6" t="str">
        <f>'_Input Engine'!A61&amp;"|"&amp;'_Input Engine'!B61&amp;"|"&amp;'_Input Engine'!C61</f>
        <v>MB1||</v>
      </c>
      <c r="BC6" t="s">
        <v>741</v>
      </c>
      <c r="BD6" s="85" t="s">
        <v>1093</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1013</v>
      </c>
      <c r="ET6">
        <v>11</v>
      </c>
      <c r="EU6">
        <v>40</v>
      </c>
      <c r="EV6">
        <v>11</v>
      </c>
      <c r="EW6">
        <v>40</v>
      </c>
      <c r="EX6">
        <v>11</v>
      </c>
      <c r="EY6">
        <v>40</v>
      </c>
      <c r="EZ6">
        <v>11</v>
      </c>
      <c r="FA6">
        <v>40</v>
      </c>
      <c r="FB6">
        <v>11</v>
      </c>
      <c r="FC6">
        <v>40</v>
      </c>
      <c r="FD6">
        <v>11</v>
      </c>
      <c r="FE6">
        <v>40</v>
      </c>
      <c r="FF6">
        <v>11</v>
      </c>
      <c r="FG6">
        <v>40</v>
      </c>
      <c r="FH6">
        <v>11</v>
      </c>
      <c r="FI6">
        <v>40</v>
      </c>
      <c r="FJ6" s="86" t="s">
        <v>745</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109</v>
      </c>
    </row>
    <row r="7" spans="1:200" ht="30" customHeight="1">
      <c r="A7" s="47" t="s">
        <v>378</v>
      </c>
      <c r="B7" s="47"/>
      <c r="C7" s="49" t="str">
        <f>IF('Section B Main Beam Design'!G12="","",'Section B Main Beam Design'!G12)</f>
        <v/>
      </c>
      <c r="D7" s="47" t="s">
        <v>345</v>
      </c>
      <c r="E7" s="48" t="str">
        <f>IF('Section B Main Beam Design'!T13="","",'Section B Main Beam Design'!T13)</f>
        <v>Simply-supported</v>
      </c>
      <c r="F7" s="47"/>
      <c r="G7" s="47"/>
      <c r="H7" s="47"/>
      <c r="I7" s="47"/>
      <c r="J7" s="47"/>
      <c r="K7" s="47"/>
      <c r="L7" s="47"/>
      <c r="M7" s="47"/>
      <c r="N7" s="47"/>
      <c r="O7" s="47"/>
      <c r="P7" s="47"/>
      <c r="Q7" s="47"/>
      <c r="R7" s="47"/>
      <c r="S7" s="47"/>
      <c r="T7" s="47"/>
      <c r="U7" s="47"/>
      <c r="V7" s="47"/>
      <c r="W7" s="47"/>
      <c r="X7" s="47"/>
      <c r="BA7" t="s">
        <v>746</v>
      </c>
      <c r="BB7" t="str">
        <f>'_Input Engine'!A62&amp;"|"&amp;'_Input Engine'!B62&amp;"|"&amp;'_Input Engine'!C62</f>
        <v>MB2||</v>
      </c>
      <c r="BC7" t="s">
        <v>741</v>
      </c>
      <c r="BD7" s="85" t="s">
        <v>1093</v>
      </c>
      <c r="BF7" t="s">
        <v>743</v>
      </c>
      <c r="CG7" t="s">
        <v>744</v>
      </c>
      <c r="ET7">
        <v>11</v>
      </c>
      <c r="EU7">
        <v>40</v>
      </c>
      <c r="EV7">
        <v>11</v>
      </c>
      <c r="EW7">
        <v>40</v>
      </c>
      <c r="EX7">
        <v>11</v>
      </c>
      <c r="EY7">
        <v>40</v>
      </c>
      <c r="EZ7">
        <v>11</v>
      </c>
      <c r="FA7">
        <v>40</v>
      </c>
      <c r="FB7">
        <v>11</v>
      </c>
      <c r="FC7">
        <v>40</v>
      </c>
      <c r="FD7">
        <v>11</v>
      </c>
      <c r="FE7">
        <v>40</v>
      </c>
      <c r="FF7">
        <v>11</v>
      </c>
      <c r="FG7">
        <v>40</v>
      </c>
      <c r="FH7">
        <v>11</v>
      </c>
      <c r="FI7">
        <v>40</v>
      </c>
      <c r="FJ7" s="85" t="s">
        <v>745</v>
      </c>
      <c r="FK7">
        <v>12</v>
      </c>
      <c r="FL7">
        <v>100</v>
      </c>
      <c r="FM7">
        <v>2</v>
      </c>
      <c r="FP7">
        <v>40</v>
      </c>
      <c r="FQ7">
        <v>250</v>
      </c>
      <c r="FR7">
        <v>150</v>
      </c>
      <c r="FS7">
        <v>4</v>
      </c>
      <c r="FT7">
        <v>11</v>
      </c>
      <c r="FU7">
        <v>40</v>
      </c>
      <c r="FV7">
        <v>11</v>
      </c>
      <c r="FW7">
        <v>40</v>
      </c>
      <c r="FX7">
        <v>11</v>
      </c>
      <c r="FY7">
        <v>40</v>
      </c>
      <c r="FZ7">
        <v>2</v>
      </c>
      <c r="GA7">
        <v>40</v>
      </c>
      <c r="GB7">
        <v>11</v>
      </c>
      <c r="GC7">
        <v>40</v>
      </c>
      <c r="GD7">
        <v>11</v>
      </c>
      <c r="GE7">
        <v>40</v>
      </c>
      <c r="GF7">
        <v>11</v>
      </c>
      <c r="GG7">
        <v>40</v>
      </c>
      <c r="GH7">
        <v>2</v>
      </c>
      <c r="GI7">
        <v>40</v>
      </c>
    </row>
    <row r="8" spans="1:200" ht="42" customHeight="1">
      <c r="A8" s="47" t="s">
        <v>379</v>
      </c>
      <c r="B8" s="47"/>
      <c r="C8" s="49" t="str">
        <f>IF('Section B Main Beam Design'!G14="","",'Section B Main Beam Design'!G14)</f>
        <v/>
      </c>
      <c r="D8" s="47" t="s">
        <v>346</v>
      </c>
      <c r="E8" s="48" t="str">
        <f>IF('Section B Main Beam Design'!G23="","",'Section B Main Beam Design'!G23)</f>
        <v/>
      </c>
      <c r="F8" s="47"/>
      <c r="G8" s="47"/>
      <c r="H8" s="47"/>
      <c r="I8" s="47"/>
      <c r="J8" s="47"/>
      <c r="K8" s="47"/>
      <c r="L8" s="47"/>
      <c r="M8" s="47"/>
      <c r="N8" s="47"/>
      <c r="O8" s="47"/>
      <c r="P8" s="47"/>
      <c r="Q8" s="47"/>
      <c r="R8" s="47"/>
      <c r="S8" s="47"/>
      <c r="T8" s="47"/>
      <c r="U8" s="47"/>
      <c r="V8" s="47"/>
      <c r="W8" s="47"/>
      <c r="X8" s="47"/>
      <c r="BB8" t="str">
        <f>'_Input Engine'!A63&amp;"|"&amp;'_Input Engine'!B63&amp;"|"&amp;'_Input Engine'!C63</f>
        <v>MB3||</v>
      </c>
      <c r="BD8" s="85" t="s">
        <v>1093</v>
      </c>
    </row>
    <row r="9" spans="1:200" ht="30" customHeight="1">
      <c r="A9" s="47" t="s">
        <v>347</v>
      </c>
      <c r="B9" s="47"/>
      <c r="C9" s="49" t="str">
        <f>IF('Section B Main Beam Design'!G15="","",'Section B Main Beam Design'!G15)</f>
        <v/>
      </c>
      <c r="D9" s="47" t="s">
        <v>346</v>
      </c>
      <c r="E9" s="48" t="str">
        <f>IF('Section B Main Beam Design'!G24="","",'Section B Main Beam Design'!G24)</f>
        <v/>
      </c>
      <c r="F9" s="47"/>
      <c r="G9" s="47"/>
      <c r="H9" s="47"/>
      <c r="I9" s="47"/>
      <c r="J9" s="47"/>
      <c r="K9" s="47"/>
      <c r="L9" s="47"/>
      <c r="M9" s="47"/>
      <c r="N9" s="47"/>
      <c r="O9" s="47"/>
      <c r="P9" s="47"/>
      <c r="Q9" s="47"/>
      <c r="R9" s="47"/>
      <c r="S9" s="47"/>
      <c r="T9" s="47"/>
      <c r="U9" s="47"/>
      <c r="V9" s="47"/>
      <c r="W9" s="47"/>
      <c r="X9" s="47"/>
      <c r="BB9" t="str">
        <f>'_Input Engine'!A64&amp;"|"&amp;'_Input Engine'!B64&amp;"|"&amp;'_Input Engine'!C64</f>
        <v>MB4||</v>
      </c>
      <c r="BD9" s="85" t="s">
        <v>1093</v>
      </c>
    </row>
    <row r="10" spans="1:200" ht="30" customHeight="1">
      <c r="A10" s="47" t="s">
        <v>348</v>
      </c>
      <c r="B10" s="47"/>
      <c r="C10" s="322" t="str">
        <f>IF('Section B Main Beam Design'!G17="","",'Section B Main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Engine'!A65&amp;"|"&amp;'_Input Engine'!B65&amp;"|"&amp;'_Input Engine'!C65</f>
        <v>MB5||</v>
      </c>
      <c r="BD10" s="85" t="s">
        <v>1093</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Engine'!A66&amp;"|"&amp;'_Input Engine'!B66&amp;"|"&amp;'_Input Engine'!C66</f>
        <v>MB6||</v>
      </c>
      <c r="BD11" s="85" t="s">
        <v>1093</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Engine'!A67&amp;"|"&amp;'_Input Engine'!B67&amp;"|"&amp;'_Input Engine'!C67</f>
        <v>MB7||</v>
      </c>
      <c r="BD12" s="85" t="s">
        <v>1093</v>
      </c>
    </row>
    <row r="13" spans="1:200" ht="30" customHeight="1">
      <c r="A13" s="47" t="s">
        <v>382</v>
      </c>
      <c r="B13" s="47"/>
      <c r="C13" s="49" t="str">
        <f>'Section B Main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Engine'!A68&amp;"|"&amp;'_Input Engine'!B68&amp;"|"&amp;'_Input Engine'!C68</f>
        <v>MB8||</v>
      </c>
      <c r="BD13" s="85" t="s">
        <v>1093</v>
      </c>
    </row>
    <row r="14" spans="1:200" ht="48" customHeight="1">
      <c r="A14" s="47" t="s">
        <v>365</v>
      </c>
      <c r="B14" s="47"/>
      <c r="C14" s="49" t="str">
        <f>IF($I$25&lt;&gt;"OK","",'Section B Main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Engine'!A69&amp;"|"&amp;'_Input Engine'!B69&amp;"|"&amp;'_Input Engine'!C69</f>
        <v>MB9||</v>
      </c>
      <c r="BD14" s="85" t="s">
        <v>1093</v>
      </c>
    </row>
    <row r="15" spans="1:200" ht="48" customHeight="1">
      <c r="A15" s="47" t="s">
        <v>384</v>
      </c>
      <c r="B15" s="47"/>
      <c r="C15" s="322" t="str">
        <f>IF($I$25&lt;&gt;"OK","",'Section B Main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Engine'!A70&amp;"|"&amp;'_Input Engine'!B70&amp;"|"&amp;'_Input Engine'!C70</f>
        <v>MB10||</v>
      </c>
      <c r="BD15" s="85" t="s">
        <v>1093</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Engine'!A71&amp;"|"&amp;'_Input Engine'!B71&amp;"|"&amp;'_Input Engine'!C71</f>
        <v>MB11||</v>
      </c>
      <c r="BD16" s="85" t="s">
        <v>1093</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Engine'!A72&amp;"|"&amp;'_Input Engine'!B72&amp;"|"&amp;'_Input Engine'!C72</f>
        <v>MB12||</v>
      </c>
      <c r="BD17" s="85" t="s">
        <v>1093</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Engine'!A73&amp;"|"&amp;'_Input Engine'!B73&amp;"|"&amp;'_Input Engine'!C73</f>
        <v>MB13||</v>
      </c>
      <c r="BD18" s="85" t="s">
        <v>1093</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Engine'!A74&amp;"|"&amp;'_Input Engine'!B74&amp;"|"&amp;'_Input Engine'!C74</f>
        <v>MB14||</v>
      </c>
      <c r="BD19" s="85" t="s">
        <v>1093</v>
      </c>
    </row>
    <row r="20" spans="1:56" ht="48" customHeight="1">
      <c r="A20" s="47" t="s">
        <v>387</v>
      </c>
      <c r="B20" s="47"/>
      <c r="C20" s="49" t="str">
        <f>IF($I$25&lt;&gt;"OK","",'Section B Main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Engine'!A75&amp;"|"&amp;'_Input Engine'!B75&amp;"|"&amp;'_Input Engine'!C75</f>
        <v>MB15||</v>
      </c>
      <c r="BD20" s="85" t="s">
        <v>1093</v>
      </c>
    </row>
    <row r="21" spans="1:56" ht="48" customHeight="1">
      <c r="A21" s="47" t="s">
        <v>388</v>
      </c>
      <c r="B21" s="47"/>
      <c r="C21" s="49" t="str">
        <f>IF($I$25&lt;&gt;"OK","",'Section B Main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Engine'!A76&amp;"|"&amp;'_Input Engine'!B76&amp;"|"&amp;'_Input Engine'!C76</f>
        <v>MB16||</v>
      </c>
      <c r="BD21" s="85" t="s">
        <v>1093</v>
      </c>
    </row>
    <row r="22" spans="1:56" ht="42" customHeight="1">
      <c r="A22" s="47" t="s">
        <v>366</v>
      </c>
      <c r="B22" s="47"/>
      <c r="C22" s="322" t="str">
        <f>IF($I$25&lt;&gt;"OK","",'Section B Main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Engine'!A77&amp;"|"&amp;'_Input Engine'!B77&amp;"|"&amp;'_Input Engine'!C77</f>
        <v>MB17||</v>
      </c>
      <c r="BD22" s="85" t="s">
        <v>1093</v>
      </c>
    </row>
    <row r="23" spans="1:56" ht="42" customHeight="1">
      <c r="A23" s="47" t="s">
        <v>372</v>
      </c>
      <c r="B23" s="47"/>
      <c r="C23" s="323" t="str">
        <f>IF($I$25&lt;&gt;"OK","",'Section B Main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Engine'!A78&amp;"|"&amp;'_Input Engine'!B78&amp;"|"&amp;'_Input Engine'!C78</f>
        <v>MB18||</v>
      </c>
      <c r="BD23" s="85" t="s">
        <v>1093</v>
      </c>
    </row>
    <row r="24" spans="1:56" ht="42" customHeight="1">
      <c r="A24" s="47" t="s">
        <v>373</v>
      </c>
      <c r="B24" s="47"/>
      <c r="C24" s="323" t="str">
        <f>IF($I$25&lt;&gt;"OK","",'Section B Main Beam Design'!G84)</f>
        <v/>
      </c>
      <c r="D24" s="47"/>
      <c r="E24" s="59" t="s">
        <v>469</v>
      </c>
      <c r="F24" s="47"/>
      <c r="G24" s="47" t="s">
        <v>389</v>
      </c>
      <c r="H24" s="47"/>
      <c r="I24" s="612" t="str">
        <f>"Design actions entered by user: "&amp;C6</f>
        <v>Design actions entered by user: MB1</v>
      </c>
      <c r="J24" s="612"/>
      <c r="K24" s="612"/>
      <c r="L24" s="612"/>
      <c r="M24" s="612"/>
      <c r="N24" s="612"/>
      <c r="O24" s="47"/>
      <c r="P24" s="47"/>
      <c r="Q24" s="47"/>
      <c r="R24" s="47"/>
      <c r="S24" s="47"/>
      <c r="T24" s="47"/>
      <c r="U24" s="47"/>
      <c r="V24" s="47"/>
      <c r="W24" s="47"/>
      <c r="X24" s="47"/>
      <c r="BB24" t="str">
        <f>'_Input Engine'!A79&amp;"|"&amp;'_Input Engine'!B79&amp;"|"&amp;'_Input Engine'!C79</f>
        <v>MB19||</v>
      </c>
      <c r="BD24" s="85" t="s">
        <v>1093</v>
      </c>
    </row>
    <row r="25" spans="1:56" ht="42" customHeight="1">
      <c r="A25" s="47"/>
      <c r="B25" s="47"/>
      <c r="C25" s="52"/>
      <c r="D25" s="47"/>
      <c r="E25" s="48"/>
      <c r="F25" s="47"/>
      <c r="G25" s="47" t="s">
        <v>390</v>
      </c>
      <c r="H25" s="47"/>
      <c r="I25" s="612" t="str">
        <f>IF(AND(ISNUMBER('Section B Main Beam Design'!G16),'Section B Main Beam Design'!G16&gt;0),IF(IFERROR(INDEX('_Input Engine'!$J$91:$J$110,MATCH(C6,'_Input Engine'!$A$61:$A$80,0)),"SELECT BEAM ID")&lt;&gt;"OK",IFERROR(INDEX('_Input Engine'!$J$91:$J$110,MATCH(C6,'_Input Engine'!$A$61:$A$80,0)),"SELECT BEAM ID"),IF(OR(C6="",COUNT(C7:C10,E8:E9)&lt;&gt;6),"ENTER MARK, L, b, h, fcu, M/V",IF(OR(MIN(C7:C10)&lt;=0,MIN(E8:E9)&lt;0),"INVALID INPUT",IF(AND(E7&lt;&gt;"Simply-supported",E7&lt;&gt;"End span",E7&lt;&gt;"Continuous"),"SELECT SUPPORT","OK")))),IF(COUNTIF('_Input Engine'!$A$61:$A$80,'Section B Main Beam Design'!C9)=1,INDEX('_Input Engine'!$K$91:$K$110,MATCH('Section B Main Beam Design'!C9,'_Input Engine'!$A$61:$A$80,0)),"SELECT BEAM ID"))</f>
        <v/>
      </c>
      <c r="J25" s="612"/>
      <c r="K25" s="612"/>
      <c r="L25" s="612"/>
      <c r="M25" s="612"/>
      <c r="N25" s="612"/>
      <c r="O25" s="47"/>
      <c r="P25" s="47"/>
      <c r="Q25" s="47"/>
      <c r="R25" s="47"/>
      <c r="S25" s="47"/>
      <c r="T25" s="47"/>
      <c r="U25" s="47"/>
      <c r="V25" s="47"/>
      <c r="W25" s="47"/>
      <c r="X25" s="47"/>
      <c r="BB25" t="str">
        <f>'_Input Engine'!A80&amp;"|"&amp;'_Input Engine'!B80&amp;"|"&amp;'_Input Engine'!C80</f>
        <v>MB20||</v>
      </c>
      <c r="BD25" s="85" t="s">
        <v>1093</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Main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IF($I$25&lt;&gt;"OK","",'Section B Main Beam Design'!Q40)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Main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Main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Main Beam Design'!C44:C47,'Section B Main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Main Beam Design'!C40:C43,'Section B Main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Main Beam Design'!C44:C47,"&gt;0")+COUNTIF('Section B Main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Main Beam Design'!C40:C43,"&gt;0")+COUNTIF('Section B Main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Main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Main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Main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Main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Main Beam Design'!N40="OKAY",'Section B Main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Main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Main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Main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Main Beam Design'!K58)</f>
        <v/>
      </c>
      <c r="D66" s="47" t="s">
        <v>369</v>
      </c>
      <c r="E66" s="48"/>
      <c r="F66" s="47"/>
      <c r="G66" s="608" t="s">
        <v>460</v>
      </c>
      <c r="H66" s="608"/>
      <c r="I66" s="606" t="str">
        <f>IF($I$25&lt;&gt;"OK","",'Section B Main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Main Beam Design'!N52="OKAY",'Section B Main Beam Design'!N59="OKAY"),"OKAY","NOT OKAY"))</f>
        <v/>
      </c>
      <c r="D67" s="61"/>
      <c r="E67" s="63"/>
      <c r="F67" s="47"/>
      <c r="G67" s="608" t="s">
        <v>461</v>
      </c>
      <c r="H67" s="608"/>
      <c r="I67" s="606" t="str">
        <f>IF($I$25&lt;&gt;"OK","",'Section B Main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Main Beam Design'!G85)</f>
        <v/>
      </c>
      <c r="D69" s="61"/>
      <c r="E69" s="48" t="str">
        <f>E7&amp;"; basic L/d limit"</f>
        <v>Simply-supported;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Main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Main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Main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Main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370392E1-36E4-459F-8334-FA15DD7EB1A8}">
      <formula1>6</formula1>
      <formula2>25</formula2>
    </dataValidation>
  </dataValidations>
  <hyperlinks>
    <hyperlink ref="E24" location="'Transfer Beam Check'!G160" display="'Transfer Beam Check'!G160" xr:uid="{AE627271-A7EC-4A35-9E0B-203018D5DC91}"/>
    <hyperlink ref="A342" location="'section b column check'!A1" display="Column design moved to section b column check" xr:uid="{34B7767C-FD62-455B-8C8B-10BAD97A6886}"/>
    <hyperlink ref="A196" location="'section b column check'!A1" display="Column design moved to section b column check" xr:uid="{F4E873AB-C5C1-4FEF-A0D8-7347C9136382}"/>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92F5-8C71-48B0-9C4B-72ED80311DA1}">
  <sheetPr codeName="Sheet17">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Secondary Beam Design'!C9="","",'Section B Secondary Beam Design'!C9)</f>
        <v>SB1</v>
      </c>
      <c r="D6" s="47"/>
      <c r="E6" s="48" t="s">
        <v>108</v>
      </c>
      <c r="F6" s="47"/>
      <c r="G6" s="47"/>
      <c r="H6" s="47"/>
      <c r="I6" s="47"/>
      <c r="J6" s="47"/>
      <c r="K6" s="47"/>
      <c r="L6" s="47"/>
      <c r="M6" s="47"/>
      <c r="N6" s="47"/>
      <c r="O6" s="47"/>
      <c r="P6" s="47"/>
      <c r="Q6" s="47"/>
      <c r="R6" s="47"/>
      <c r="S6" s="47"/>
      <c r="T6" s="47"/>
      <c r="U6" s="47"/>
      <c r="V6" s="47"/>
      <c r="W6" s="47"/>
      <c r="X6" s="47"/>
      <c r="BA6" t="s">
        <v>827</v>
      </c>
      <c r="BB6" t="str">
        <f>'_Input Engine'!A31&amp;"|"&amp;'_Input Engine'!AH31&amp;"|"&amp;'_Input Engine'!AI31</f>
        <v>SB1||</v>
      </c>
      <c r="BC6" t="s">
        <v>741</v>
      </c>
      <c r="BD6" s="85" t="s">
        <v>1094</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883</v>
      </c>
      <c r="ET6">
        <v>11</v>
      </c>
      <c r="EU6">
        <v>40</v>
      </c>
      <c r="EV6">
        <v>11</v>
      </c>
      <c r="EW6">
        <v>40</v>
      </c>
      <c r="EX6">
        <v>11</v>
      </c>
      <c r="EY6">
        <v>40</v>
      </c>
      <c r="EZ6">
        <v>11</v>
      </c>
      <c r="FA6">
        <v>40</v>
      </c>
      <c r="FB6">
        <v>11</v>
      </c>
      <c r="FC6">
        <v>40</v>
      </c>
      <c r="FD6">
        <v>11</v>
      </c>
      <c r="FE6">
        <v>40</v>
      </c>
      <c r="FF6">
        <v>11</v>
      </c>
      <c r="FG6">
        <v>40</v>
      </c>
      <c r="FH6">
        <v>11</v>
      </c>
      <c r="FI6">
        <v>40</v>
      </c>
      <c r="FJ6" s="86" t="s">
        <v>748</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107</v>
      </c>
    </row>
    <row r="7" spans="1:200" ht="30" customHeight="1">
      <c r="A7" s="47" t="s">
        <v>378</v>
      </c>
      <c r="B7" s="47"/>
      <c r="C7" s="49" t="str">
        <f>IF('Section B Secondary Beam Design'!G12="","",'Section B Secondary Beam Design'!G12)</f>
        <v/>
      </c>
      <c r="D7" s="47" t="s">
        <v>345</v>
      </c>
      <c r="E7" s="48" t="str">
        <f>IF('Section B Secondary Beam Design'!T13="","",'Section B Secondary Beam Design'!T13)</f>
        <v>Simply-supported</v>
      </c>
      <c r="F7" s="47"/>
      <c r="G7" s="47"/>
      <c r="H7" s="47"/>
      <c r="I7" s="47"/>
      <c r="J7" s="47"/>
      <c r="K7" s="47"/>
      <c r="L7" s="47"/>
      <c r="M7" s="47"/>
      <c r="N7" s="47"/>
      <c r="O7" s="47"/>
      <c r="P7" s="47"/>
      <c r="Q7" s="47"/>
      <c r="R7" s="47"/>
      <c r="S7" s="47"/>
      <c r="T7" s="47"/>
      <c r="U7" s="47"/>
      <c r="V7" s="47"/>
      <c r="W7" s="47"/>
      <c r="X7" s="47"/>
      <c r="BB7" t="str">
        <f>'_Input Engine'!A32&amp;"|"&amp;'_Input Engine'!AH32&amp;"|"&amp;'_Input Engine'!AI32</f>
        <v>SB2||</v>
      </c>
      <c r="BD7" s="85" t="s">
        <v>1094</v>
      </c>
      <c r="FJ7" s="85"/>
    </row>
    <row r="8" spans="1:200" ht="42" customHeight="1">
      <c r="A8" s="47" t="s">
        <v>379</v>
      </c>
      <c r="B8" s="47"/>
      <c r="C8" s="49" t="str">
        <f>IF('Section B Secondary Beam Design'!G14="","",'Section B Secondary Beam Design'!G14)</f>
        <v/>
      </c>
      <c r="D8" s="47" t="s">
        <v>346</v>
      </c>
      <c r="E8" s="48" t="str">
        <f>IF('Section B Secondary Beam Design'!G23="","",'Section B Secondary Beam Design'!G23)</f>
        <v/>
      </c>
      <c r="F8" s="47"/>
      <c r="G8" s="47"/>
      <c r="H8" s="47"/>
      <c r="I8" s="47"/>
      <c r="J8" s="47"/>
      <c r="K8" s="47"/>
      <c r="L8" s="47"/>
      <c r="M8" s="47"/>
      <c r="N8" s="47"/>
      <c r="O8" s="47"/>
      <c r="P8" s="47"/>
      <c r="Q8" s="47"/>
      <c r="R8" s="47"/>
      <c r="S8" s="47"/>
      <c r="T8" s="47"/>
      <c r="U8" s="47"/>
      <c r="V8" s="47"/>
      <c r="W8" s="47"/>
      <c r="X8" s="47"/>
      <c r="BB8" t="str">
        <f>'_Input Engine'!A33&amp;"|"&amp;'_Input Engine'!AH33&amp;"|"&amp;'_Input Engine'!AI33</f>
        <v>SB3||</v>
      </c>
      <c r="BD8" s="85" t="s">
        <v>1094</v>
      </c>
    </row>
    <row r="9" spans="1:200" ht="30" customHeight="1">
      <c r="A9" s="47" t="s">
        <v>347</v>
      </c>
      <c r="B9" s="47"/>
      <c r="C9" s="49" t="str">
        <f>IF('Section B Secondary Beam Design'!G15="","",'Section B Secondary Beam Design'!G15)</f>
        <v/>
      </c>
      <c r="D9" s="47" t="s">
        <v>346</v>
      </c>
      <c r="E9" s="48" t="str">
        <f>IF('Section B Secondary Beam Design'!G24="","",'Section B Secondary Beam Design'!G24)</f>
        <v/>
      </c>
      <c r="F9" s="47"/>
      <c r="G9" s="47"/>
      <c r="H9" s="47"/>
      <c r="I9" s="47"/>
      <c r="J9" s="47"/>
      <c r="K9" s="47"/>
      <c r="L9" s="47"/>
      <c r="M9" s="47"/>
      <c r="N9" s="47"/>
      <c r="O9" s="47"/>
      <c r="P9" s="47"/>
      <c r="Q9" s="47"/>
      <c r="R9" s="47"/>
      <c r="S9" s="47"/>
      <c r="T9" s="47"/>
      <c r="U9" s="47"/>
      <c r="V9" s="47"/>
      <c r="W9" s="47"/>
      <c r="X9" s="47"/>
      <c r="BB9" t="str">
        <f>'_Input Engine'!A34&amp;"|"&amp;'_Input Engine'!AH34&amp;"|"&amp;'_Input Engine'!AI34</f>
        <v>SB4||</v>
      </c>
      <c r="BD9" s="85" t="s">
        <v>1094</v>
      </c>
    </row>
    <row r="10" spans="1:200" ht="30" customHeight="1">
      <c r="A10" s="47" t="s">
        <v>348</v>
      </c>
      <c r="B10" s="47"/>
      <c r="C10" s="322" t="str">
        <f>IF('Section B Secondary Beam Design'!G17="","",'Section B Secondary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Engine'!A35&amp;"|"&amp;'_Input Engine'!AH35&amp;"|"&amp;'_Input Engine'!AI35</f>
        <v>SB5||</v>
      </c>
      <c r="BD10" s="85" t="s">
        <v>1094</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Engine'!A36&amp;"|"&amp;'_Input Engine'!AH36&amp;"|"&amp;'_Input Engine'!AI36</f>
        <v>SB6||</v>
      </c>
      <c r="BD11" s="85" t="s">
        <v>1094</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Engine'!A37&amp;"|"&amp;'_Input Engine'!AH37&amp;"|"&amp;'_Input Engine'!AI37</f>
        <v>SB7||</v>
      </c>
      <c r="BD12" s="85" t="s">
        <v>1094</v>
      </c>
    </row>
    <row r="13" spans="1:200" ht="30" customHeight="1">
      <c r="A13" s="47" t="s">
        <v>382</v>
      </c>
      <c r="B13" s="47"/>
      <c r="C13" s="49" t="str">
        <f>'Section B Secondary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Engine'!A38&amp;"|"&amp;'_Input Engine'!AH38&amp;"|"&amp;'_Input Engine'!AI38</f>
        <v>SB8||</v>
      </c>
      <c r="BD13" s="85" t="s">
        <v>1094</v>
      </c>
    </row>
    <row r="14" spans="1:200" ht="48" customHeight="1">
      <c r="A14" s="47" t="s">
        <v>365</v>
      </c>
      <c r="B14" s="47"/>
      <c r="C14" s="49" t="str">
        <f>IF($I$25&lt;&gt;"OK","",'Section B Secondary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Engine'!A39&amp;"|"&amp;'_Input Engine'!AH39&amp;"|"&amp;'_Input Engine'!AI39</f>
        <v>SB9||</v>
      </c>
      <c r="BD14" s="85" t="s">
        <v>1094</v>
      </c>
    </row>
    <row r="15" spans="1:200" ht="48" customHeight="1">
      <c r="A15" s="47" t="s">
        <v>384</v>
      </c>
      <c r="B15" s="47"/>
      <c r="C15" s="322" t="str">
        <f>IF($I$25&lt;&gt;"OK","",'Section B Secondary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Engine'!A40&amp;"|"&amp;'_Input Engine'!AH40&amp;"|"&amp;'_Input Engine'!AI40</f>
        <v>SB10||</v>
      </c>
      <c r="BD15" s="85" t="s">
        <v>1094</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Engine'!A41&amp;"|"&amp;'_Input Engine'!AH41&amp;"|"&amp;'_Input Engine'!AI41</f>
        <v>SB11||</v>
      </c>
      <c r="BD16" s="85" t="s">
        <v>1094</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Engine'!A42&amp;"|"&amp;'_Input Engine'!AH42&amp;"|"&amp;'_Input Engine'!AI42</f>
        <v>SB12||</v>
      </c>
      <c r="BD17" s="85" t="s">
        <v>1094</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Engine'!A43&amp;"|"&amp;'_Input Engine'!AH43&amp;"|"&amp;'_Input Engine'!AI43</f>
        <v>SB13||</v>
      </c>
      <c r="BD18" s="85" t="s">
        <v>1094</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Engine'!A44&amp;"|"&amp;'_Input Engine'!AH44&amp;"|"&amp;'_Input Engine'!AI44</f>
        <v>SB14||</v>
      </c>
      <c r="BD19" s="85" t="s">
        <v>1094</v>
      </c>
    </row>
    <row r="20" spans="1:56" ht="48" customHeight="1">
      <c r="A20" s="47" t="s">
        <v>387</v>
      </c>
      <c r="B20" s="47"/>
      <c r="C20" s="49" t="str">
        <f>IF($I$25&lt;&gt;"OK","",'Section B Secondary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Engine'!A45&amp;"|"&amp;'_Input Engine'!AH45&amp;"|"&amp;'_Input Engine'!AI45</f>
        <v>SB15||</v>
      </c>
      <c r="BD20" s="85" t="s">
        <v>1094</v>
      </c>
    </row>
    <row r="21" spans="1:56" ht="48" customHeight="1">
      <c r="A21" s="47" t="s">
        <v>388</v>
      </c>
      <c r="B21" s="47"/>
      <c r="C21" s="49" t="str">
        <f>IF($I$25&lt;&gt;"OK","",'Section B Secondary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Engine'!A46&amp;"|"&amp;'_Input Engine'!AH46&amp;"|"&amp;'_Input Engine'!AI46</f>
        <v>SB16||</v>
      </c>
      <c r="BD21" s="85" t="s">
        <v>1094</v>
      </c>
    </row>
    <row r="22" spans="1:56" ht="42" customHeight="1">
      <c r="A22" s="47" t="s">
        <v>366</v>
      </c>
      <c r="B22" s="47"/>
      <c r="C22" s="322" t="str">
        <f>IF($I$25&lt;&gt;"OK","",'Section B Secondary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Engine'!A47&amp;"|"&amp;'_Input Engine'!AH47&amp;"|"&amp;'_Input Engine'!AI47</f>
        <v>SB17||</v>
      </c>
      <c r="BD22" s="85" t="s">
        <v>1094</v>
      </c>
    </row>
    <row r="23" spans="1:56" ht="42" customHeight="1">
      <c r="A23" s="47" t="s">
        <v>372</v>
      </c>
      <c r="B23" s="47"/>
      <c r="C23" s="323" t="str">
        <f>IF($I$25&lt;&gt;"OK","",'Section B Secondary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Engine'!A48&amp;"|"&amp;'_Input Engine'!AH48&amp;"|"&amp;'_Input Engine'!AI48</f>
        <v>SB18||</v>
      </c>
      <c r="BD23" s="85" t="s">
        <v>1094</v>
      </c>
    </row>
    <row r="24" spans="1:56" ht="42" customHeight="1">
      <c r="A24" s="47" t="s">
        <v>373</v>
      </c>
      <c r="B24" s="47"/>
      <c r="C24" s="323" t="str">
        <f>IF($I$25&lt;&gt;"OK","",'Section B Secondary Beam Design'!G84)</f>
        <v/>
      </c>
      <c r="D24" s="47"/>
      <c r="E24" s="59" t="s">
        <v>469</v>
      </c>
      <c r="F24" s="47"/>
      <c r="G24" s="47" t="s">
        <v>389</v>
      </c>
      <c r="H24" s="47"/>
      <c r="I24" s="612" t="str">
        <f>"Design actions entered by user: "&amp;C6</f>
        <v>Design actions entered by user: SB1</v>
      </c>
      <c r="J24" s="612"/>
      <c r="K24" s="612"/>
      <c r="L24" s="612"/>
      <c r="M24" s="612"/>
      <c r="N24" s="612"/>
      <c r="O24" s="47"/>
      <c r="P24" s="47"/>
      <c r="Q24" s="47"/>
      <c r="R24" s="47"/>
      <c r="S24" s="47"/>
      <c r="T24" s="47"/>
      <c r="U24" s="47"/>
      <c r="V24" s="47"/>
      <c r="W24" s="47"/>
      <c r="X24" s="47"/>
      <c r="BB24" t="str">
        <f>'_Input Engine'!A49&amp;"|"&amp;'_Input Engine'!AH49&amp;"|"&amp;'_Input Engine'!AI49</f>
        <v>SB19||</v>
      </c>
      <c r="BD24" s="85" t="s">
        <v>1094</v>
      </c>
    </row>
    <row r="25" spans="1:56" ht="42" customHeight="1">
      <c r="A25" s="47"/>
      <c r="B25" s="47"/>
      <c r="C25" s="52"/>
      <c r="D25" s="47"/>
      <c r="E25" s="48"/>
      <c r="F25" s="47"/>
      <c r="G25" s="47" t="s">
        <v>390</v>
      </c>
      <c r="H25" s="47"/>
      <c r="I25" s="612" t="str">
        <f>IF(AND(ISNUMBER('Section B Secondary Beam Design'!G16),'Section B Secondary Beam Design'!G16&gt;0),IF(IFERROR(INDEX('_Input Engine'!$W$31:$W$50,MATCH(C6,'_Input Engine'!$A$31:$A$50,0)),"SELECT BEAM ID")&lt;&gt;"OK",IFERROR(INDEX('_Input Engine'!$W$31:$W$50,MATCH(C6,'_Input Engine'!$A$31:$A$50,0)),"SELECT BEAM ID"),IF(OR(C6="",COUNT(C7:C10,E8:E9)&lt;&gt;6),"ENTER MARK, L, b, h, fcu, M/V",IF(OR(MIN(C7:C10)&lt;=0,MIN(E8:E9)&lt;0),"INVALID INPUT",IF(AND(E7&lt;&gt;"Simply-supported",E7&lt;&gt;"End span",E7&lt;&gt;"Continuous"),"SELECT SUPPORT","OK")))),IF(COUNTIF('_Input Engine'!$A$31:$A$50,'Section B Secondary Beam Design'!C9)=1,INDEX('_Input Engine'!$Y$31:$Y$50,MATCH('Section B Secondary Beam Design'!C9,'_Input Engine'!$A$31:$A$50,0)),"SELECT BEAM ID"))</f>
        <v/>
      </c>
      <c r="J25" s="612"/>
      <c r="K25" s="612"/>
      <c r="L25" s="612"/>
      <c r="M25" s="612"/>
      <c r="N25" s="612"/>
      <c r="O25" s="47"/>
      <c r="P25" s="47"/>
      <c r="Q25" s="47"/>
      <c r="R25" s="47"/>
      <c r="S25" s="47"/>
      <c r="T25" s="47"/>
      <c r="U25" s="47"/>
      <c r="V25" s="47"/>
      <c r="W25" s="47"/>
      <c r="X25" s="47"/>
      <c r="BB25" t="str">
        <f>'_Input Engine'!A50&amp;"|"&amp;'_Input Engine'!AH50&amp;"|"&amp;'_Input Engine'!AI50</f>
        <v>SB20||</v>
      </c>
      <c r="BD25" s="85" t="s">
        <v>1094</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8" t="s">
        <v>460</v>
      </c>
      <c r="H66" s="608"/>
      <c r="I66" s="606" t="str">
        <f>IF($I$25&lt;&gt;"OK","",'Section B Secondary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8" t="s">
        <v>461</v>
      </c>
      <c r="H67" s="608"/>
      <c r="I67" s="606" t="str">
        <f>IF($I$25&lt;&gt;"OK","",'Section B Secondary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Simply-supported;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Secondary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735A7279-867D-43D3-A5A3-0A0307ED16C9}">
      <formula1>6</formula1>
      <formula2>25</formula2>
    </dataValidation>
  </dataValidations>
  <hyperlinks>
    <hyperlink ref="E24" location="'Transfer Beam Check'!G160" display="'Transfer Beam Check'!G160" xr:uid="{7D13C51D-B565-4F56-B436-9727E7BE6FE8}"/>
    <hyperlink ref="A342" location="'section b column check'!A1" display="Column design moved to section b column check" xr:uid="{BA24A3CF-BF0F-4B70-9B9B-FD09EC0926FE}"/>
    <hyperlink ref="A196" location="'section b column check'!A1" display="Column design moved to section b column check" xr:uid="{54BF5220-A4CC-4231-8043-6958B350674E}"/>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EAD07-EBCC-4C47-A16B-ED6AB6DE02FC}">
  <sheetPr codeName="Sheet6"/>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IF(OR('_SB Analysis'!$I$25&lt;&gt;"OK",COUNT('Section B Secondary Beam Design'!$G$16)&lt;&gt;1,'Section B Secondary Beam Design'!$G$16&lt;0),"",IF(OR('Section B Secondary Beam Design'!G15&gt;750,'Section B Secondary Beam Design'!K25&lt;&gt;0),ROUNDUP(AM3/'Section B Secondary Beam Design'!T10,0),""))</f>
        <v/>
      </c>
      <c r="AM2" s="68" t="str">
        <f>IF(OR('_SB Analysis'!$I$25&lt;&gt;"OK",COUNT('Section B Secondary Beam Design'!$G$16)&lt;&gt;1,'Section B Secondary Beam Design'!$G$16&lt;0),"",MIN(AR16,AU16,AX16,BA16))</f>
        <v/>
      </c>
      <c r="AN2" s="69"/>
      <c r="AO2" s="70" t="str">
        <f>IF(OR('_SB Analysis'!$I$25&lt;&gt;"OK",COUNT('Section B Secondary Beam Design'!$G$16)&lt;&gt;1,'Section B Secondary Beam Design'!$G$16&lt;0),"",'Section B Secondary Beam Design'!G16)</f>
        <v/>
      </c>
      <c r="AP2" s="73" t="str">
        <f>IF(OR('_SB Analysis'!$I$25&lt;&gt;"OK",COUNT('Section B Secondary Beam Design'!$G$16)&lt;&gt;1,'Section B Secondary Beam Design'!$G$16&lt;0),"",AM3/2)</f>
        <v/>
      </c>
      <c r="AQ2" s="70"/>
      <c r="AR2" s="269" t="str">
        <f>IF(OR('_SB Analysis'!$I$25&lt;&gt;"OK",COUNT('Section B Secondary Beam Design'!$G$16)&lt;&gt;1,'Section B Secondary Beam Design'!$G$16&lt;0),"",AD14)</f>
        <v/>
      </c>
      <c r="AS2" s="70" t="str">
        <f>IF(OR('_SB Analysis'!$I$25&lt;&gt;"OK",COUNT('Section B Secondary Beam Design'!$G$16)&lt;&gt;1,'Section B Secondary Beam Design'!$G$16&lt;0),"",AD16)</f>
        <v/>
      </c>
      <c r="AT2" s="70" t="str">
        <f>IF(OR('_SB Analysis'!$I$25&lt;&gt;"OK",COUNT('Section B Secondary Beam Design'!$G$16)&lt;&gt;1,'Section B Secondary Beam Design'!$G$16&lt;0),"",(AC15-AC14)/('Section B Secondary Beam Design'!C40-1))</f>
        <v/>
      </c>
      <c r="AU2" s="70" t="str">
        <f>IF(OR('_SB Analysis'!$I$25&lt;&gt;"OK",COUNT('Section B Secondary Beam Design'!$G$16)&lt;&gt;1,'Section B Secondary Beam Design'!$G$16&lt;0),"",IF(AW2=0,'Section B Secondary Beam Design'!$G$16,AR2-AF10))</f>
        <v/>
      </c>
      <c r="AV2" s="70" t="str">
        <f>IF(OR('_SB Analysis'!$I$25&lt;&gt;"OK",COUNT('Section B Secondary Beam Design'!$G$16)&lt;&gt;1,'Section B Secondary Beam Design'!$G$16&lt;0),"",AS2)</f>
        <v/>
      </c>
      <c r="AW2" s="70" t="str">
        <f>IF(OR('_SB Analysis'!$I$25&lt;&gt;"OK",COUNT('Section B Secondary Beam Design'!$G$16)&lt;&gt;1,'Section B Secondary Beam Design'!$G$16&lt;0),"",IF((AC15-AC14)/('Section B Secondary Beam Design'!C41-1)&lt;0,0,(AC15-AC14)/('Section B Secondary Beam Design'!C41-1)))</f>
        <v/>
      </c>
      <c r="AX2" s="70" t="str">
        <f>IF(OR('_SB Analysis'!$I$25&lt;&gt;"OK",COUNT('Section B Secondary Beam Design'!$G$16)&lt;&gt;1,'Section B Secondary Beam Design'!$G$16&lt;0),"",IF(AZ2=0,'Section B Secondary Beam Design'!$G$16,$AU$2-AF10))</f>
        <v/>
      </c>
      <c r="AY2" s="70" t="str">
        <f>IF(OR('_SB Analysis'!$I$25&lt;&gt;"OK",COUNT('Section B Secondary Beam Design'!$G$16)&lt;&gt;1,'Section B Secondary Beam Design'!$G$16&lt;0),"",AV2)</f>
        <v/>
      </c>
      <c r="AZ2" s="70" t="str">
        <f>IF(OR('_SB Analysis'!$I$25&lt;&gt;"OK",COUNT('Section B Secondary Beam Design'!$G$16)&lt;&gt;1,'Section B Secondary Beam Design'!$G$16&lt;0),"",IF((AC15-AC14)/('Section B Secondary Beam Design'!C42-1)&lt;0,0,(AC16-AC14)/('Section B Secondary Beam Design'!C42-1)))</f>
        <v/>
      </c>
      <c r="BA2" s="70" t="str">
        <f>IF(OR('_SB Analysis'!$I$25&lt;&gt;"OK",COUNT('Section B Secondary Beam Design'!$G$16)&lt;&gt;1,'Section B Secondary Beam Design'!$G$16&lt;0),"",IF(BC2=0,'Section B Secondary Beam Design'!$G$16,$AX$2-AF10))</f>
        <v/>
      </c>
      <c r="BB2" s="70" t="str">
        <f>IF(OR('_SB Analysis'!$I$25&lt;&gt;"OK",COUNT('Section B Secondary Beam Design'!$G$16)&lt;&gt;1,'Section B Secondary Beam Design'!$G$16&lt;0),"",AY2)</f>
        <v/>
      </c>
      <c r="BC2" s="73" t="str">
        <f>IF(OR('_SB Analysis'!$I$25&lt;&gt;"OK",COUNT('Section B Secondary Beam Design'!$G$16)&lt;&gt;1,'Section B Secondary Beam Design'!$G$16&lt;0),"",IF((AC15-AC14)/('Section B Secondary Beam Design'!C43-1)&lt;0,0,(AC15-AC14)/('Section B Secondary Beam Design'!C43-1)))</f>
        <v/>
      </c>
      <c r="BD2" s="269" t="str">
        <f>IF(OR('_SB Analysis'!$I$25&lt;&gt;"OK",COUNT('Section B Secondary Beam Design'!$G$16)&lt;&gt;1,'Section B Secondary Beam Design'!$G$16&lt;0),"",AC13)</f>
        <v/>
      </c>
      <c r="BE2" s="70" t="str">
        <f>IF(OR('_SB Analysis'!$I$25&lt;&gt;"OK",COUNT('Section B Secondary Beam Design'!$G$16)&lt;&gt;1,'Section B Secondary Beam Design'!$G$16&lt;0),"",AC13)</f>
        <v/>
      </c>
      <c r="BF2" s="70" t="str">
        <f>IF(OR('_SB Analysis'!$I$25&lt;&gt;"OK",COUNT('Section B Secondary Beam Design'!$G$16)&lt;&gt;1,'Section B Secondary Beam Design'!$G$16&lt;0),"",(AC15-AC14)/('Section B Secondary Beam Design'!C44-1))</f>
        <v/>
      </c>
      <c r="BG2" s="70" t="str">
        <f>IF(OR('_SB Analysis'!$I$25&lt;&gt;"OK",COUNT('Section B Secondary Beam Design'!$G$16)&lt;&gt;1,'Section B Secondary Beam Design'!$G$16&lt;0),"",IF(BI2=0,'Section B Secondary Beam Design'!$G$16,BD2+AF10))</f>
        <v/>
      </c>
      <c r="BH2" s="70" t="str">
        <f>IF(OR('_SB Analysis'!$I$25&lt;&gt;"OK",COUNT('Section B Secondary Beam Design'!$G$16)&lt;&gt;1,'Section B Secondary Beam Design'!$G$16&lt;0),"",BE2)</f>
        <v/>
      </c>
      <c r="BI2" s="70" t="str">
        <f>IF(OR('_SB Analysis'!$I$25&lt;&gt;"OK",COUNT('Section B Secondary Beam Design'!$G$16)&lt;&gt;1,'Section B Secondary Beam Design'!$G$16&lt;0),"",IF((AC15-AC14)/('Section B Secondary Beam Design'!C45-1)&lt;0,0,(AC15-AC14)/('Section B Secondary Beam Design'!C45-1)))</f>
        <v/>
      </c>
      <c r="BJ2" s="70" t="str">
        <f>IF(OR('_SB Analysis'!$I$25&lt;&gt;"OK",COUNT('Section B Secondary Beam Design'!$G$16)&lt;&gt;1,'Section B Secondary Beam Design'!$G$16&lt;0),"",IF(BL2=0,'Section B Secondary Beam Design'!$G$16,$BG$2+AF10))</f>
        <v/>
      </c>
      <c r="BK2" s="70" t="str">
        <f>IF(OR('_SB Analysis'!$I$25&lt;&gt;"OK",COUNT('Section B Secondary Beam Design'!$G$16)&lt;&gt;1,'Section B Secondary Beam Design'!$G$16&lt;0),"",BH2)</f>
        <v/>
      </c>
      <c r="BL2" s="70" t="str">
        <f>IF(OR('_SB Analysis'!$I$25&lt;&gt;"OK",COUNT('Section B Secondary Beam Design'!$G$16)&lt;&gt;1,'Section B Secondary Beam Design'!$G$16&lt;0),"",IF((AC15-AC14)/('Section B Secondary Beam Design'!C46-1)&lt;0,0,(AC15-AC14)/('Section B Secondary Beam Design'!C46-1)))</f>
        <v/>
      </c>
      <c r="BM2" s="70" t="str">
        <f>IF(OR('_SB Analysis'!$I$25&lt;&gt;"OK",COUNT('Section B Secondary Beam Design'!$G$16)&lt;&gt;1,'Section B Secondary Beam Design'!$G$16&lt;0),"",IF(BO2=0,'Section B Secondary Beam Design'!$G$16,$BJ$2+AF10))</f>
        <v/>
      </c>
      <c r="BN2" s="70" t="str">
        <f>IF(OR('_SB Analysis'!$I$25&lt;&gt;"OK",COUNT('Section B Secondary Beam Design'!$G$16)&lt;&gt;1,'Section B Secondary Beam Design'!$G$16&lt;0),"",BK2)</f>
        <v/>
      </c>
      <c r="BO2" s="73" t="str">
        <f>IF(OR('_SB Analysis'!$I$25&lt;&gt;"OK",COUNT('Section B Secondary Beam Design'!$G$16)&lt;&gt;1,'Section B Secondary Beam Design'!$G$16&lt;0),"",IF((AC15-AC14)/('Section B Secondary Beam Design'!C47-1)&lt;0,0,(AC15-AC14)/('Section B Secondary Beam Design'!C47-1)))</f>
        <v/>
      </c>
      <c r="BP2" s="70"/>
      <c r="BQ2" s="70"/>
    </row>
    <row r="3" spans="15:69">
      <c r="P3" s="70"/>
      <c r="Q3" s="70"/>
      <c r="Y3" s="70"/>
      <c r="Z3" s="70"/>
      <c r="AA3" s="70"/>
      <c r="AB3" s="70"/>
      <c r="AC3" s="70" t="s">
        <v>563</v>
      </c>
      <c r="AD3" s="70" t="str">
        <f>IF(OR('_SB Analysis'!$I$25&lt;&gt;"OK",COUNT('Section B Secondary Beam Design'!$G$16)&lt;&gt;1,'Section B Secondary Beam Design'!$G$16&lt;0),"",'Section B Secondary Beam Design'!$G$16)</f>
        <v/>
      </c>
      <c r="AE3" s="70" t="str">
        <f>IF(OR('_SB Analysis'!$I$25&lt;&gt;"OK",COUNT('Section B Secondary Beam Design'!$G$16)&lt;&gt;1,'Section B Secondary Beam Design'!$G$16&lt;0),"",Y4-AD3)</f>
        <v/>
      </c>
      <c r="AF3" s="70"/>
      <c r="AG3" s="70"/>
      <c r="AH3" s="70" t="s">
        <v>564</v>
      </c>
      <c r="AI3" s="70"/>
      <c r="AJ3" s="70"/>
      <c r="AK3" s="74" t="str">
        <f>IF(OR('_SB Analysis'!$I$25&lt;&gt;"OK",COUNT('Section B Secondary Beam Design'!$G$16)&lt;&gt;1,'Section B Secondary Beam Design'!$G$16&lt;0),"",'_SB Helpers'!O69)</f>
        <v/>
      </c>
      <c r="AL3" s="70" t="str">
        <f>IF(OR('_SB Analysis'!$I$25&lt;&gt;"OK",COUNT('Section B Secondary Beam Design'!$G$16)&lt;&gt;1,'Section B Secondary Beam Design'!$G$16&lt;0),"",IF(AL2="","",(MIN(AR16,AU16,AX16,BA16)-MAX(BD16,BG16,BJ16,BM16))/AL2))</f>
        <v/>
      </c>
      <c r="AM3" s="70" t="str">
        <f>IF(OR('_SB Analysis'!$I$25&lt;&gt;"OK",COUNT('Section B Secondary Beam Design'!$G$16)&lt;&gt;1,'Section B Secondary Beam Design'!$G$16&lt;0),"",MIN(AR16,AU16,AX16,BA16)-MAX(BD16,BG16,BJ16,BM16))</f>
        <v/>
      </c>
      <c r="AN3" s="70"/>
      <c r="AO3" s="70" t="str">
        <f>IF(OR('_SB Analysis'!$I$25&lt;&gt;"OK",COUNT('Section B Secondary Beam Design'!$G$16)&lt;&gt;1,'Section B Secondary Beam Design'!$G$16&lt;0),"",IF(AL5="",AO2,Y4-AO2))</f>
        <v/>
      </c>
      <c r="AP3" s="70" t="str">
        <f>IF(OR('_SB Analysis'!$I$25&lt;&gt;"OK",COUNT('Section B Secondary Beam Design'!$G$16)&lt;&gt;1,'Section B Secondary Beam Design'!$G$16&lt;0),"",AP2)</f>
        <v/>
      </c>
      <c r="AQ3" s="70"/>
      <c r="AR3" s="269" t="str">
        <f>IF(OR('_SB Analysis'!$I$25&lt;&gt;"OK",COUNT('Section B Secondary Beam Design'!$G$16)&lt;&gt;1,'Section B Secondary Beam Design'!$G$16&lt;0),"",IF(AS3&lt;&gt;'Section B Secondary Beam Design'!$G$16,$AR$2,'Section B Secondary Beam Design'!$G$16))</f>
        <v/>
      </c>
      <c r="AS3" s="70" t="str">
        <f>IF(OR('_SB Analysis'!$I$25&lt;&gt;"OK",COUNT('Section B Secondary Beam Design'!$G$16)&lt;&gt;1,'Section B Secondary Beam Design'!$G$16&lt;0),"",IF(AS2=0,0,IF(AS2+$AT$2&gt;$AC$15,0,AS2+$AT$2)))</f>
        <v/>
      </c>
      <c r="AT3" s="70"/>
      <c r="AU3" s="70" t="str">
        <f>IF(OR('_SB Analysis'!$I$25&lt;&gt;"OK",COUNT('Section B Secondary Beam Design'!$G$16)&lt;&gt;1,'Section B Secondary Beam Design'!$G$16&lt;0),"",IF(AV3&lt;&gt;'Section B Secondary Beam Design'!$G$16,$AU$2,'Section B Secondary Beam Design'!$G$16))</f>
        <v/>
      </c>
      <c r="AV3" s="70" t="str">
        <f>IF(OR('_SB Analysis'!$I$25&lt;&gt;"OK",COUNT('Section B Secondary Beam Design'!$G$16)&lt;&gt;1,'Section B Secondary Beam Design'!$G$16&lt;0),"",IF(AV2=0,0,IF(AV2+$AW$2&gt;$AC$15,0,AV2+$AW$2)))</f>
        <v/>
      </c>
      <c r="AW3" s="70"/>
      <c r="AX3" s="70" t="str">
        <f>IF(OR('_SB Analysis'!$I$25&lt;&gt;"OK",COUNT('Section B Secondary Beam Design'!$G$16)&lt;&gt;1,'Section B Secondary Beam Design'!$G$16&lt;0),"",IF(AY3&lt;&gt;'Section B Secondary Beam Design'!$G$16,$AX$2,'Section B Secondary Beam Design'!$G$16))</f>
        <v/>
      </c>
      <c r="AY3" s="70" t="str">
        <f>IF(OR('_SB Analysis'!$I$25&lt;&gt;"OK",COUNT('Section B Secondary Beam Design'!$G$16)&lt;&gt;1,'Section B Secondary Beam Design'!$G$16&lt;0),"",IF(AY2=0,0,IF(AY2+$AZ$2&gt;$AC$15,0,AY2+$AZ$2)))</f>
        <v/>
      </c>
      <c r="AZ3" s="70"/>
      <c r="BA3" s="70" t="str">
        <f>IF(OR('_SB Analysis'!$I$25&lt;&gt;"OK",COUNT('Section B Secondary Beam Design'!$G$16)&lt;&gt;1,'Section B Secondary Beam Design'!$G$16&lt;0),"",IF(BB3&lt;&gt;'Section B Secondary Beam Design'!$G$16,$BA$2,'Section B Secondary Beam Design'!$G$16))</f>
        <v/>
      </c>
      <c r="BB3" s="70" t="str">
        <f>IF(OR('_SB Analysis'!$I$25&lt;&gt;"OK",COUNT('Section B Secondary Beam Design'!$G$16)&lt;&gt;1,'Section B Secondary Beam Design'!$G$16&lt;0),"",IF(BB2=0,0,IF(BB2+$BC$2&gt;$AC$15,0,BB2+$BC$2)))</f>
        <v/>
      </c>
      <c r="BC3" s="73"/>
      <c r="BD3" s="269" t="str">
        <f>IF(OR('_SB Analysis'!$I$25&lt;&gt;"OK",COUNT('Section B Secondary Beam Design'!$G$16)&lt;&gt;1,'Section B Secondary Beam Design'!$G$16&lt;0),"",IF(BE3&lt;&gt;0,$BD$2,0))</f>
        <v/>
      </c>
      <c r="BE3" s="70" t="str">
        <f>IF(OR('_SB Analysis'!$I$25&lt;&gt;"OK",COUNT('Section B Secondary Beam Design'!$G$16)&lt;&gt;1,'Section B Secondary Beam Design'!$G$16&lt;0),"",IF(BE2=0,0,IF(BE2+$BF$2&gt;$AC$15,0,BE2+$BF$2)))</f>
        <v/>
      </c>
      <c r="BF3" s="70"/>
      <c r="BG3" s="70" t="str">
        <f>IF(OR('_SB Analysis'!$I$25&lt;&gt;"OK",COUNT('Section B Secondary Beam Design'!$G$16)&lt;&gt;1,'Section B Secondary Beam Design'!$G$16&lt;0),"",IF(BH3&lt;&gt;'Section B Secondary Beam Design'!$G$16,$BG$2,'Section B Secondary Beam Design'!$G$16))</f>
        <v/>
      </c>
      <c r="BH3" s="70" t="str">
        <f>IF(OR('_SB Analysis'!$I$25&lt;&gt;"OK",COUNT('Section B Secondary Beam Design'!$G$16)&lt;&gt;1,'Section B Secondary Beam Design'!$G$16&lt;0),"",IF(BH2=0,0,IF(BH2+$BI$2&gt;$AC$15,0,BH2+$BI$2)))</f>
        <v/>
      </c>
      <c r="BI3" s="70"/>
      <c r="BJ3" s="70" t="str">
        <f>IF(OR('_SB Analysis'!$I$25&lt;&gt;"OK",COUNT('Section B Secondary Beam Design'!$G$16)&lt;&gt;1,'Section B Secondary Beam Design'!$G$16&lt;0),"",IF(BK3&lt;&gt;'Section B Secondary Beam Design'!$G$16,$BJ$2,'Section B Secondary Beam Design'!$G$16))</f>
        <v/>
      </c>
      <c r="BK3" s="70" t="str">
        <f>IF(OR('_SB Analysis'!$I$25&lt;&gt;"OK",COUNT('Section B Secondary Beam Design'!$G$16)&lt;&gt;1,'Section B Secondary Beam Design'!$G$16&lt;0),"",IF(BK2=0,0,IF(BK2+$BL$2&gt;$AC$15,0,BK2+$BL$2)))</f>
        <v/>
      </c>
      <c r="BL3" s="70"/>
      <c r="BM3" s="70" t="str">
        <f>IF(OR('_SB Analysis'!$I$25&lt;&gt;"OK",COUNT('Section B Secondary Beam Design'!$G$16)&lt;&gt;1,'Section B Secondary Beam Design'!$G$16&lt;0),"",IF(BN3&lt;&gt;'Section B Secondary Beam Design'!$G$16,$BM$2,'Section B Secondary Beam Design'!$G$16))</f>
        <v/>
      </c>
      <c r="BN3" s="70" t="str">
        <f>IF(OR('_SB Analysis'!$I$25&lt;&gt;"OK",COUNT('Section B Secondary Beam Design'!$G$16)&lt;&gt;1,'Section B Secondary Beam Design'!$G$16&lt;0),"",IF(BN2=0,0,IF(BN2+$BO$2&gt;$AC$15,0,BN2+$BO$2)))</f>
        <v/>
      </c>
      <c r="BO3" s="73"/>
      <c r="BP3" s="70"/>
      <c r="BQ3" s="70"/>
    </row>
    <row r="4" spans="15:69">
      <c r="P4" s="70"/>
      <c r="Q4" s="70"/>
      <c r="Y4" s="70" t="str">
        <f>IF(OR('_SB Analysis'!$I$25&lt;&gt;"OK",COUNT('Section B Secondary Beam Design'!$G$16)&lt;&gt;1,'Section B Secondary Beam Design'!$G$16&lt;0),"",'Section B Secondary Beam Design'!G12*1000)</f>
        <v/>
      </c>
      <c r="Z4" s="70" t="str">
        <f>IF(OR('_SB Analysis'!$I$25&lt;&gt;"OK",COUNT('Section B Secondary Beam Design'!$G$16)&lt;&gt;1,'Section B Secondary Beam Design'!$G$16&lt;0),"",'Section B Secondary Beam Design'!G15)</f>
        <v/>
      </c>
      <c r="AA4" s="70">
        <v>0</v>
      </c>
      <c r="AB4" s="70">
        <v>0</v>
      </c>
      <c r="AC4" s="70" t="str">
        <f>IF(OR('_SB Analysis'!$I$25&lt;&gt;"OK",COUNT('Section B Secondary Beam Design'!$G$16)&lt;&gt;1,'Section B Secondary Beam Design'!$G$16&lt;0),"",IF('Section B Secondary Beam Design'!C40=0,"",'Section B Secondary Beam Design'!C40&amp;"T"&amp;'Section B Secondary Beam Design'!D40))</f>
        <v/>
      </c>
      <c r="AD4" s="70" t="str">
        <f>IF(OR('_SB Analysis'!$I$25&lt;&gt;"OK",COUNT('Section B Secondary Beam Design'!$G$16)&lt;&gt;1,'Section B Secondary Beam Design'!$G$16&lt;0),"",AR2)</f>
        <v/>
      </c>
      <c r="AE4" s="70" t="str">
        <f>IF(OR('_SB Analysis'!$I$25&lt;&gt;"OK",COUNT('Section B Secondary Beam Design'!$G$16)&lt;&gt;1,'Section B Secondary Beam Design'!$G$16&lt;0),"",AD4)</f>
        <v/>
      </c>
      <c r="AF4" s="70"/>
      <c r="AG4" s="70"/>
      <c r="AH4" s="70" t="str">
        <f>IF(OR('_SB Analysis'!$I$25&lt;&gt;"OK",COUNT('Section B Secondary Beam Design'!$G$16)&lt;&gt;1,'Section B Secondary Beam Design'!$G$16&lt;0),"",IF('Section B Secondary Beam Design'!C44=0,"",'Section B Secondary Beam Design'!C44&amp;"T"&amp;'Section B Secondary Beam Design'!D44))</f>
        <v/>
      </c>
      <c r="AI4" s="70" t="str">
        <f>IF(OR('_SB Analysis'!$I$25&lt;&gt;"OK",COUNT('Section B Secondary Beam Design'!$G$16)&lt;&gt;1,'Section B Secondary Beam Design'!$G$16&lt;0),"",BD2)</f>
        <v/>
      </c>
      <c r="AJ4" s="70" t="str">
        <f>IF(OR('_SB Analysis'!$I$25&lt;&gt;"OK",COUNT('Section B Secondary Beam Design'!$G$16)&lt;&gt;1,'Section B Secondary Beam Design'!$G$16&lt;0),"",AI4)</f>
        <v/>
      </c>
      <c r="AK4" s="74" t="str">
        <f>IF(OR('_SB Analysis'!$I$25&lt;&gt;"OK",COUNT('Section B Secondary Beam Design'!$G$16)&lt;&gt;1,'Section B Secondary Beam Design'!$G$16&lt;0),"",'_SB Helpers'!O77)</f>
        <v/>
      </c>
      <c r="AL4" s="70" t="str">
        <f>IF(OR('_SB Analysis'!$I$25&lt;&gt;"OK",COUNT('Section B Secondary Beam Design'!$G$16)&lt;&gt;1,'Section B Secondary Beam Design'!$G$16&lt;0),"",IF(AL3="","",(AL3*MIN(500,'Section B Secondary Beam Design'!G14)/'Section B Secondary Beam Design'!G18)^0.5))</f>
        <v/>
      </c>
      <c r="AM4" s="70"/>
      <c r="AN4" s="73"/>
      <c r="AO4" s="270" t="str">
        <f>IF(OR('_SB Analysis'!$I$25&lt;&gt;"OK",COUNT('Section B Secondary Beam Design'!$G$16)&lt;&gt;1,'Section B Secondary Beam Design'!$G$16&lt;0),"",IF(AL4="","",AL2-1&amp;"T"&amp;AL5&amp;" EF"))</f>
        <v/>
      </c>
      <c r="AP4" s="70"/>
      <c r="AQ4" s="70"/>
      <c r="AR4" s="269" t="str">
        <f>IF(OR('_SB Analysis'!$I$25&lt;&gt;"OK",COUNT('Section B Secondary Beam Design'!$G$16)&lt;&gt;1,'Section B Secondary Beam Design'!$G$16&lt;0),"",IF(AS4&lt;&gt;'Section B Secondary Beam Design'!$G$16,$AR$2,'Section B Secondary Beam Design'!$G$16))</f>
        <v/>
      </c>
      <c r="AS4" s="70" t="str">
        <f>IF(OR('_SB Analysis'!$I$25&lt;&gt;"OK",COUNT('Section B Secondary Beam Design'!$G$16)&lt;&gt;1,'Section B Secondary Beam Design'!$G$16&lt;0),"",IF(AS3='Section B Secondary Beam Design'!$G$16,'Section B Secondary Beam Design'!$G$16,IF(AS3+$AT$2&gt;$AC$15,'Section B Secondary Beam Design'!$G$16,AS3+$AT$2)))</f>
        <v/>
      </c>
      <c r="AT4" s="70"/>
      <c r="AU4" s="70" t="str">
        <f>IF(OR('_SB Analysis'!$I$25&lt;&gt;"OK",COUNT('Section B Secondary Beam Design'!$G$16)&lt;&gt;1,'Section B Secondary Beam Design'!$G$16&lt;0),"",IF(AV4&lt;&gt;'Section B Secondary Beam Design'!$G$16,$AU$2,'Section B Secondary Beam Design'!$G$16))</f>
        <v/>
      </c>
      <c r="AV4" s="70" t="str">
        <f>IF(OR('_SB Analysis'!$I$25&lt;&gt;"OK",COUNT('Section B Secondary Beam Design'!$G$16)&lt;&gt;1,'Section B Secondary Beam Design'!$G$16&lt;0),"",IF(AV3='Section B Secondary Beam Design'!$G$16,'Section B Secondary Beam Design'!$G$16,IF(AV3+$AW$2&gt;$AC$15,'Section B Secondary Beam Design'!$G$16,AV3+$AW$2)))</f>
        <v/>
      </c>
      <c r="AW4" s="70"/>
      <c r="AX4" s="70" t="str">
        <f>IF(OR('_SB Analysis'!$I$25&lt;&gt;"OK",COUNT('Section B Secondary Beam Design'!$G$16)&lt;&gt;1,'Section B Secondary Beam Design'!$G$16&lt;0),"",IF(AY4&lt;&gt;'Section B Secondary Beam Design'!$G$16,$AX$2,'Section B Secondary Beam Design'!$G$16))</f>
        <v/>
      </c>
      <c r="AY4" s="70" t="str">
        <f>IF(OR('_SB Analysis'!$I$25&lt;&gt;"OK",COUNT('Section B Secondary Beam Design'!$G$16)&lt;&gt;1,'Section B Secondary Beam Design'!$G$16&lt;0),"",IF(AY3='Section B Secondary Beam Design'!$G$16,'Section B Secondary Beam Design'!$G$16,IF(AY3+$AZ$2&gt;$AC$15,'Section B Secondary Beam Design'!$G$16,AY3+$AZ$2)))</f>
        <v/>
      </c>
      <c r="AZ4" s="70"/>
      <c r="BA4" s="70" t="str">
        <f>IF(OR('_SB Analysis'!$I$25&lt;&gt;"OK",COUNT('Section B Secondary Beam Design'!$G$16)&lt;&gt;1,'Section B Secondary Beam Design'!$G$16&lt;0),"",IF(BB4&lt;&gt;'Section B Secondary Beam Design'!$G$16,$BA$2,'Section B Secondary Beam Design'!$G$16))</f>
        <v/>
      </c>
      <c r="BB4" s="70" t="str">
        <f>IF(OR('_SB Analysis'!$I$25&lt;&gt;"OK",COUNT('Section B Secondary Beam Design'!$G$16)&lt;&gt;1,'Section B Secondary Beam Design'!$G$16&lt;0),"",IF(BB3='Section B Secondary Beam Design'!$G$16,'Section B Secondary Beam Design'!$G$16,IF(BB3+$BC$2&gt;$AC$15,'Section B Secondary Beam Design'!$G$16,BB3+$BC$2)))</f>
        <v/>
      </c>
      <c r="BC4" s="73"/>
      <c r="BD4" s="269" t="str">
        <f>IF(OR('_SB Analysis'!$I$25&lt;&gt;"OK",COUNT('Section B Secondary Beam Design'!$G$16)&lt;&gt;1,'Section B Secondary Beam Design'!$G$16&lt;0),"",IF(BE4&lt;&gt;'Section B Secondary Beam Design'!$G$16,$BD$2,'Section B Secondary Beam Design'!$G$16))</f>
        <v/>
      </c>
      <c r="BE4" s="70" t="str">
        <f>IF(OR('_SB Analysis'!$I$25&lt;&gt;"OK",COUNT('Section B Secondary Beam Design'!$G$16)&lt;&gt;1,'Section B Secondary Beam Design'!$G$16&lt;0),"",IF(BE3='Section B Secondary Beam Design'!$G$16,'Section B Secondary Beam Design'!$G$16,IF(BE3+$BF$2&gt;$AC$15,'Section B Secondary Beam Design'!$G$16,BE3+$BF$2)))</f>
        <v/>
      </c>
      <c r="BF4" s="70"/>
      <c r="BG4" s="70" t="str">
        <f>IF(OR('_SB Analysis'!$I$25&lt;&gt;"OK",COUNT('Section B Secondary Beam Design'!$G$16)&lt;&gt;1,'Section B Secondary Beam Design'!$G$16&lt;0),"",IF(BH4&lt;&gt;'Section B Secondary Beam Design'!$G$16,$BG$2,'Section B Secondary Beam Design'!$G$16))</f>
        <v/>
      </c>
      <c r="BH4" s="70" t="str">
        <f>IF(OR('_SB Analysis'!$I$25&lt;&gt;"OK",COUNT('Section B Secondary Beam Design'!$G$16)&lt;&gt;1,'Section B Secondary Beam Design'!$G$16&lt;0),"",IF(BH3='Section B Secondary Beam Design'!$G$16,'Section B Secondary Beam Design'!$G$16,IF(BH3+$BI$2&gt;$AC$15,'Section B Secondary Beam Design'!$G$16,BH3+$BI$2)))</f>
        <v/>
      </c>
      <c r="BI4" s="70"/>
      <c r="BJ4" s="70" t="str">
        <f>IF(OR('_SB Analysis'!$I$25&lt;&gt;"OK",COUNT('Section B Secondary Beam Design'!$G$16)&lt;&gt;1,'Section B Secondary Beam Design'!$G$16&lt;0),"",IF(BK4&lt;&gt;'Section B Secondary Beam Design'!$G$16,$BJ$2,'Section B Secondary Beam Design'!$G$16))</f>
        <v/>
      </c>
      <c r="BK4" s="70" t="str">
        <f>IF(OR('_SB Analysis'!$I$25&lt;&gt;"OK",COUNT('Section B Secondary Beam Design'!$G$16)&lt;&gt;1,'Section B Secondary Beam Design'!$G$16&lt;0),"",IF(BK3='Section B Secondary Beam Design'!$G$16,'Section B Secondary Beam Design'!$G$16,IF(BK3+$BL$2&gt;$AC$15,'Section B Secondary Beam Design'!$G$16,BK3+$BL$2)))</f>
        <v/>
      </c>
      <c r="BL4" s="70"/>
      <c r="BM4" s="70" t="str">
        <f>IF(OR('_SB Analysis'!$I$25&lt;&gt;"OK",COUNT('Section B Secondary Beam Design'!$G$16)&lt;&gt;1,'Section B Secondary Beam Design'!$G$16&lt;0),"",IF(BN4&lt;&gt;'Section B Secondary Beam Design'!$G$16,$BM$2,'Section B Secondary Beam Design'!$G$16))</f>
        <v/>
      </c>
      <c r="BN4" s="70" t="str">
        <f>IF(OR('_SB Analysis'!$I$25&lt;&gt;"OK",COUNT('Section B Secondary Beam Design'!$G$16)&lt;&gt;1,'Section B Secondary Beam Design'!$G$16&lt;0),"",IF(BN3='Section B Secondary Beam Design'!$G$16,'Section B Secondary Beam Design'!$G$16,IF(BN3+$BO$2&gt;$AC$15,'Section B Secondary Beam Design'!$G$16,BN3+$BO$2)))</f>
        <v/>
      </c>
      <c r="BO4" s="73"/>
      <c r="BP4" s="70"/>
      <c r="BQ4" s="70"/>
    </row>
    <row r="5" spans="15:69">
      <c r="P5" s="70"/>
      <c r="Q5" s="70"/>
      <c r="Y5" s="70"/>
      <c r="Z5" s="70"/>
      <c r="AA5" s="70">
        <v>0</v>
      </c>
      <c r="AB5" s="70" t="str">
        <f>IF(OR('_SB Analysis'!$I$25&lt;&gt;"OK",COUNT('Section B Secondary Beam Design'!$G$16)&lt;&gt;1,'Section B Secondary Beam Design'!$G$16&lt;0),"",Y4)</f>
        <v/>
      </c>
      <c r="AC5" s="70" t="str">
        <f>IF(OR('_SB Analysis'!$I$25&lt;&gt;"OK",COUNT('Section B Secondary Beam Design'!$G$16)&lt;&gt;1,'Section B Secondary Beam Design'!$G$16&lt;0),"",IF('Section B Secondary Beam Design'!C41=0,"",'Section B Secondary Beam Design'!C41&amp;"T"&amp;'Section B Secondary Beam Design'!D41))</f>
        <v/>
      </c>
      <c r="AD5" s="70" t="str">
        <f>IF(OR('_SB Analysis'!$I$25&lt;&gt;"OK",COUNT('Section B Secondary Beam Design'!$G$16)&lt;&gt;1,'Section B Secondary Beam Design'!$G$16&lt;0),"",AU2)</f>
        <v/>
      </c>
      <c r="AE5" s="70" t="str">
        <f>IF(OR('_SB Analysis'!$I$25&lt;&gt;"OK",COUNT('Section B Secondary Beam Design'!$G$16)&lt;&gt;1,'Section B Secondary Beam Design'!$G$16&lt;0),"",AD5)</f>
        <v/>
      </c>
      <c r="AF5" s="70"/>
      <c r="AG5" s="70"/>
      <c r="AH5" s="70" t="str">
        <f>IF(OR('_SB Analysis'!$I$25&lt;&gt;"OK",COUNT('Section B Secondary Beam Design'!$G$16)&lt;&gt;1,'Section B Secondary Beam Design'!$G$16&lt;0),"",IF('Section B Secondary Beam Design'!C45=0,"",'Section B Secondary Beam Design'!C45&amp;"T"&amp;'Section B Secondary Beam Design'!D45))</f>
        <v/>
      </c>
      <c r="AI5" s="70" t="str">
        <f>IF(OR('_SB Analysis'!$I$25&lt;&gt;"OK",COUNT('Section B Secondary Beam Design'!$G$16)&lt;&gt;1,'Section B Secondary Beam Design'!$G$16&lt;0),"",BG2)</f>
        <v/>
      </c>
      <c r="AJ5" s="70" t="str">
        <f>IF(OR('_SB Analysis'!$I$25&lt;&gt;"OK",COUNT('Section B Secondary Beam Design'!$G$16)&lt;&gt;1,'Section B Secondary Beam Design'!$G$16&lt;0),"",AI5)</f>
        <v/>
      </c>
      <c r="AK5" s="74" t="str">
        <f>IF(OR('_SB Analysis'!$I$25&lt;&gt;"OK",COUNT('Section B Secondary Beam Design'!$G$16)&lt;&gt;1,'Section B Secondary Beam Design'!$G$16&lt;0),"",'_SB Helpers'!O78)</f>
        <v/>
      </c>
      <c r="AL5" s="70" t="str">
        <f>IF(OR('_SB Analysis'!$I$25&lt;&gt;"OK",COUNT('Section B Secondary Beam Design'!$G$16)&lt;&gt;1,'Section B Secondary Beam Design'!$G$16&lt;0),"",IF(AL4="","",IF(AL4&lt;10,10,IF(AL4&lt;12,12,IF(AL4&lt;16,16,IF(AL4&lt;20,20,IF(AL4&lt;25,25,IF(AL4&lt;32,32,40))))))))</f>
        <v/>
      </c>
      <c r="AM5" s="70"/>
      <c r="AN5" s="73"/>
      <c r="AO5" s="70"/>
      <c r="AP5" s="70"/>
      <c r="AQ5" s="70"/>
      <c r="AR5" s="269" t="str">
        <f>IF(OR('_SB Analysis'!$I$25&lt;&gt;"OK",COUNT('Section B Secondary Beam Design'!$G$16)&lt;&gt;1,'Section B Secondary Beam Design'!$G$16&lt;0),"",IF(AS5&lt;&gt;'Section B Secondary Beam Design'!$G$16,$AR$2,'Section B Secondary Beam Design'!$G$16))</f>
        <v/>
      </c>
      <c r="AS5" s="70" t="str">
        <f>IF(OR('_SB Analysis'!$I$25&lt;&gt;"OK",COUNT('Section B Secondary Beam Design'!$G$16)&lt;&gt;1,'Section B Secondary Beam Design'!$G$16&lt;0),"",IF(AS4='Section B Secondary Beam Design'!$G$16,'Section B Secondary Beam Design'!$G$16,IF(AS4+$AT$2&gt;$AC$15,'Section B Secondary Beam Design'!$G$16,AS4+$AT$2)))</f>
        <v/>
      </c>
      <c r="AT5" s="70"/>
      <c r="AU5" s="70" t="str">
        <f>IF(OR('_SB Analysis'!$I$25&lt;&gt;"OK",COUNT('Section B Secondary Beam Design'!$G$16)&lt;&gt;1,'Section B Secondary Beam Design'!$G$16&lt;0),"",IF(AV5&lt;&gt;'Section B Secondary Beam Design'!$G$16,$AU$2,'Section B Secondary Beam Design'!$G$16))</f>
        <v/>
      </c>
      <c r="AV5" s="70" t="str">
        <f>IF(OR('_SB Analysis'!$I$25&lt;&gt;"OK",COUNT('Section B Secondary Beam Design'!$G$16)&lt;&gt;1,'Section B Secondary Beam Design'!$G$16&lt;0),"",IF(AV4='Section B Secondary Beam Design'!$G$16,'Section B Secondary Beam Design'!$G$16,IF(AV4+$AW$2&gt;$AC$15,'Section B Secondary Beam Design'!$G$16,AV4+$AW$2)))</f>
        <v/>
      </c>
      <c r="AW5" s="70"/>
      <c r="AX5" s="70" t="str">
        <f>IF(OR('_SB Analysis'!$I$25&lt;&gt;"OK",COUNT('Section B Secondary Beam Design'!$G$16)&lt;&gt;1,'Section B Secondary Beam Design'!$G$16&lt;0),"",IF(AY5&lt;&gt;'Section B Secondary Beam Design'!$G$16,$AX$2,'Section B Secondary Beam Design'!$G$16))</f>
        <v/>
      </c>
      <c r="AY5" s="70" t="str">
        <f>IF(OR('_SB Analysis'!$I$25&lt;&gt;"OK",COUNT('Section B Secondary Beam Design'!$G$16)&lt;&gt;1,'Section B Secondary Beam Design'!$G$16&lt;0),"",IF(AY4='Section B Secondary Beam Design'!$G$16,'Section B Secondary Beam Design'!$G$16,IF(AY4+$AZ$2&gt;$AC$15,'Section B Secondary Beam Design'!$G$16,AY4+$AZ$2)))</f>
        <v/>
      </c>
      <c r="AZ5" s="70"/>
      <c r="BA5" s="70" t="str">
        <f>IF(OR('_SB Analysis'!$I$25&lt;&gt;"OK",COUNT('Section B Secondary Beam Design'!$G$16)&lt;&gt;1,'Section B Secondary Beam Design'!$G$16&lt;0),"",IF(BB5&lt;&gt;'Section B Secondary Beam Design'!$G$16,$BA$2,'Section B Secondary Beam Design'!$G$16))</f>
        <v/>
      </c>
      <c r="BB5" s="70" t="str">
        <f>IF(OR('_SB Analysis'!$I$25&lt;&gt;"OK",COUNT('Section B Secondary Beam Design'!$G$16)&lt;&gt;1,'Section B Secondary Beam Design'!$G$16&lt;0),"",IF(BB4='Section B Secondary Beam Design'!$G$16,'Section B Secondary Beam Design'!$G$16,IF(BB4+$BC$2&gt;$AC$15,'Section B Secondary Beam Design'!$G$16,BB4+$BC$2)))</f>
        <v/>
      </c>
      <c r="BC5" s="73"/>
      <c r="BD5" s="269" t="str">
        <f>IF(OR('_SB Analysis'!$I$25&lt;&gt;"OK",COUNT('Section B Secondary Beam Design'!$G$16)&lt;&gt;1,'Section B Secondary Beam Design'!$G$16&lt;0),"",IF(BE5&lt;&gt;'Section B Secondary Beam Design'!$G$16,$BD$2,'Section B Secondary Beam Design'!$G$16))</f>
        <v/>
      </c>
      <c r="BE5" s="70" t="str">
        <f>IF(OR('_SB Analysis'!$I$25&lt;&gt;"OK",COUNT('Section B Secondary Beam Design'!$G$16)&lt;&gt;1,'Section B Secondary Beam Design'!$G$16&lt;0),"",IF(BE4='Section B Secondary Beam Design'!$G$16,'Section B Secondary Beam Design'!$G$16,IF(BE4+$BF$2&gt;$AC$15,'Section B Secondary Beam Design'!$G$16,BE4+$BF$2)))</f>
        <v/>
      </c>
      <c r="BF5" s="70"/>
      <c r="BG5" s="70" t="str">
        <f>IF(OR('_SB Analysis'!$I$25&lt;&gt;"OK",COUNT('Section B Secondary Beam Design'!$G$16)&lt;&gt;1,'Section B Secondary Beam Design'!$G$16&lt;0),"",IF(BH5&lt;&gt;'Section B Secondary Beam Design'!$G$16,$BG$2,'Section B Secondary Beam Design'!$G$16))</f>
        <v/>
      </c>
      <c r="BH5" s="70" t="str">
        <f>IF(OR('_SB Analysis'!$I$25&lt;&gt;"OK",COUNT('Section B Secondary Beam Design'!$G$16)&lt;&gt;1,'Section B Secondary Beam Design'!$G$16&lt;0),"",IF(BH4='Section B Secondary Beam Design'!$G$16,'Section B Secondary Beam Design'!$G$16,IF(BH4+$BI$2&gt;$AC$15,'Section B Secondary Beam Design'!$G$16,BH4+$BI$2)))</f>
        <v/>
      </c>
      <c r="BI5" s="70"/>
      <c r="BJ5" s="70" t="str">
        <f>IF(OR('_SB Analysis'!$I$25&lt;&gt;"OK",COUNT('Section B Secondary Beam Design'!$G$16)&lt;&gt;1,'Section B Secondary Beam Design'!$G$16&lt;0),"",IF(BK5&lt;&gt;'Section B Secondary Beam Design'!$G$16,$BJ$2,'Section B Secondary Beam Design'!$G$16))</f>
        <v/>
      </c>
      <c r="BK5" s="70" t="str">
        <f>IF(OR('_SB Analysis'!$I$25&lt;&gt;"OK",COUNT('Section B Secondary Beam Design'!$G$16)&lt;&gt;1,'Section B Secondary Beam Design'!$G$16&lt;0),"",IF(BK4='Section B Secondary Beam Design'!$G$16,'Section B Secondary Beam Design'!$G$16,IF(BK4+$BL$2&gt;$AC$15,'Section B Secondary Beam Design'!$G$16,BK4+$BL$2)))</f>
        <v/>
      </c>
      <c r="BL5" s="70"/>
      <c r="BM5" s="70" t="str">
        <f>IF(OR('_SB Analysis'!$I$25&lt;&gt;"OK",COUNT('Section B Secondary Beam Design'!$G$16)&lt;&gt;1,'Section B Secondary Beam Design'!$G$16&lt;0),"",IF(BN5&lt;&gt;'Section B Secondary Beam Design'!$G$16,$BM$2,'Section B Secondary Beam Design'!$G$16))</f>
        <v/>
      </c>
      <c r="BN5" s="70" t="str">
        <f>IF(OR('_SB Analysis'!$I$25&lt;&gt;"OK",COUNT('Section B Secondary Beam Design'!$G$16)&lt;&gt;1,'Section B Secondary Beam Design'!$G$16&lt;0),"",IF(BN4='Section B Secondary Beam Design'!$G$16,'Section B Secondary Beam Design'!$G$16,IF(BN4+$BO$2&gt;$AC$15,'Section B Secondary Beam Design'!$G$16,BN4+$BO$2)))</f>
        <v/>
      </c>
      <c r="BO5" s="73"/>
      <c r="BP5" s="70"/>
      <c r="BQ5" s="70"/>
    </row>
    <row r="6" spans="15:69">
      <c r="P6" s="70"/>
      <c r="Q6" s="70"/>
      <c r="Y6" s="70"/>
      <c r="Z6" s="70"/>
      <c r="AA6" s="70" t="str">
        <f>IF(OR('_SB Analysis'!$I$25&lt;&gt;"OK",COUNT('Section B Secondary Beam Design'!$G$16)&lt;&gt;1,'Section B Secondary Beam Design'!$G$16&lt;0),"",Z4)</f>
        <v/>
      </c>
      <c r="AB6" s="70" t="str">
        <f>IF(OR('_SB Analysis'!$I$25&lt;&gt;"OK",COUNT('Section B Secondary Beam Design'!$G$16)&lt;&gt;1,'Section B Secondary Beam Design'!$G$16&lt;0),"",Y4)</f>
        <v/>
      </c>
      <c r="AC6" s="70" t="str">
        <f>IF(OR('_SB Analysis'!$I$25&lt;&gt;"OK",COUNT('Section B Secondary Beam Design'!$G$16)&lt;&gt;1,'Section B Secondary Beam Design'!$G$16&lt;0),"",IF('Section B Secondary Beam Design'!C42=0,"",'Section B Secondary Beam Design'!C42&amp;"T"&amp;'Section B Secondary Beam Design'!D42))</f>
        <v/>
      </c>
      <c r="AD6" s="70" t="str">
        <f>IF(OR('_SB Analysis'!$I$25&lt;&gt;"OK",COUNT('Section B Secondary Beam Design'!$G$16)&lt;&gt;1,'Section B Secondary Beam Design'!$G$16&lt;0),"",AX2)</f>
        <v/>
      </c>
      <c r="AE6" s="70" t="str">
        <f>IF(OR('_SB Analysis'!$I$25&lt;&gt;"OK",COUNT('Section B Secondary Beam Design'!$G$16)&lt;&gt;1,'Section B Secondary Beam Design'!$G$16&lt;0),"",AD6)</f>
        <v/>
      </c>
      <c r="AF6" s="70"/>
      <c r="AG6" s="70"/>
      <c r="AH6" s="70" t="str">
        <f>IF(OR('_SB Analysis'!$I$25&lt;&gt;"OK",COUNT('Section B Secondary Beam Design'!$G$16)&lt;&gt;1,'Section B Secondary Beam Design'!$G$16&lt;0),"",IF('Section B Secondary Beam Design'!C46=0,"",'Section B Secondary Beam Design'!C46&amp;"T"&amp;'Section B Secondary Beam Design'!D46))</f>
        <v/>
      </c>
      <c r="AI6" s="70" t="str">
        <f>IF(OR('_SB Analysis'!$I$25&lt;&gt;"OK",COUNT('Section B Secondary Beam Design'!$G$16)&lt;&gt;1,'Section B Secondary Beam Design'!$G$16&lt;0),"",BJ2)</f>
        <v/>
      </c>
      <c r="AJ6" s="70" t="str">
        <f>IF(OR('_SB Analysis'!$I$25&lt;&gt;"OK",COUNT('Section B Secondary Beam Design'!$G$16)&lt;&gt;1,'Section B Secondary Beam Design'!$G$16&lt;0),"",AI6)</f>
        <v/>
      </c>
      <c r="AK6" s="74">
        <v>0</v>
      </c>
      <c r="AL6" s="70" t="str">
        <f>IF(OR('_SB Analysis'!$I$25&lt;&gt;"OK",COUNT('Section B Secondary Beam Design'!$G$16)&lt;&gt;1,'Section B Secondary Beam Design'!$G$16&lt;0),"",'Section B Secondary Beam Design'!G16)</f>
        <v/>
      </c>
      <c r="AM6" s="70" t="str">
        <f>IF(OR('_SB Analysis'!$I$25&lt;&gt;"OK",COUNT('Section B Secondary Beam Design'!$G$16)&lt;&gt;1,'Section B Secondary Beam Design'!$G$16&lt;0),"",MAX(BD16,BG16,BJ16,BM16))</f>
        <v/>
      </c>
      <c r="AN6" s="73" t="str">
        <f>IF(OR('_SB Analysis'!$I$25&lt;&gt;"OK",COUNT('Section B Secondary Beam Design'!$G$16)&lt;&gt;1,'Section B Secondary Beam Design'!$G$16&lt;0),"",$AC$15)</f>
        <v/>
      </c>
      <c r="AO6" s="70"/>
      <c r="AP6" s="70"/>
      <c r="AQ6" s="70"/>
      <c r="AR6" s="269" t="str">
        <f>IF(OR('_SB Analysis'!$I$25&lt;&gt;"OK",COUNT('Section B Secondary Beam Design'!$G$16)&lt;&gt;1,'Section B Secondary Beam Design'!$G$16&lt;0),"",IF(AS6&lt;&gt;'Section B Secondary Beam Design'!$G$16,$AR$2,'Section B Secondary Beam Design'!$G$16))</f>
        <v/>
      </c>
      <c r="AS6" s="70" t="str">
        <f>IF(OR('_SB Analysis'!$I$25&lt;&gt;"OK",COUNT('Section B Secondary Beam Design'!$G$16)&lt;&gt;1,'Section B Secondary Beam Design'!$G$16&lt;0),"",IF(AS5='Section B Secondary Beam Design'!$G$16,'Section B Secondary Beam Design'!$G$16,IF(AS5+$AT$2&gt;$AC$15,'Section B Secondary Beam Design'!$G$16,AS5+$AT$2)))</f>
        <v/>
      </c>
      <c r="AT6" s="70"/>
      <c r="AU6" s="70" t="str">
        <f>IF(OR('_SB Analysis'!$I$25&lt;&gt;"OK",COUNT('Section B Secondary Beam Design'!$G$16)&lt;&gt;1,'Section B Secondary Beam Design'!$G$16&lt;0),"",IF(AV6&lt;&gt;'Section B Secondary Beam Design'!$G$16,$AU$2,'Section B Secondary Beam Design'!$G$16))</f>
        <v/>
      </c>
      <c r="AV6" s="70" t="str">
        <f>IF(OR('_SB Analysis'!$I$25&lt;&gt;"OK",COUNT('Section B Secondary Beam Design'!$G$16)&lt;&gt;1,'Section B Secondary Beam Design'!$G$16&lt;0),"",IF(AV5='Section B Secondary Beam Design'!$G$16,'Section B Secondary Beam Design'!$G$16,IF(AV5+$AW$2&gt;$AC$15,'Section B Secondary Beam Design'!$G$16,AV5+$AW$2)))</f>
        <v/>
      </c>
      <c r="AW6" s="70"/>
      <c r="AX6" s="70" t="str">
        <f>IF(OR('_SB Analysis'!$I$25&lt;&gt;"OK",COUNT('Section B Secondary Beam Design'!$G$16)&lt;&gt;1,'Section B Secondary Beam Design'!$G$16&lt;0),"",IF(AY6&lt;&gt;'Section B Secondary Beam Design'!$G$16,$AX$2,'Section B Secondary Beam Design'!$G$16))</f>
        <v/>
      </c>
      <c r="AY6" s="70" t="str">
        <f>IF(OR('_SB Analysis'!$I$25&lt;&gt;"OK",COUNT('Section B Secondary Beam Design'!$G$16)&lt;&gt;1,'Section B Secondary Beam Design'!$G$16&lt;0),"",IF(AY5='Section B Secondary Beam Design'!$G$16,'Section B Secondary Beam Design'!$G$16,IF(AY5+$AZ$2&gt;$AC$15,'Section B Secondary Beam Design'!$G$16,AY5+$AZ$2)))</f>
        <v/>
      </c>
      <c r="AZ6" s="70"/>
      <c r="BA6" s="70" t="str">
        <f>IF(OR('_SB Analysis'!$I$25&lt;&gt;"OK",COUNT('Section B Secondary Beam Design'!$G$16)&lt;&gt;1,'Section B Secondary Beam Design'!$G$16&lt;0),"",IF(BB6&lt;&gt;'Section B Secondary Beam Design'!$G$16,$BA$2,'Section B Secondary Beam Design'!$G$16))</f>
        <v/>
      </c>
      <c r="BB6" s="70" t="str">
        <f>IF(OR('_SB Analysis'!$I$25&lt;&gt;"OK",COUNT('Section B Secondary Beam Design'!$G$16)&lt;&gt;1,'Section B Secondary Beam Design'!$G$16&lt;0),"",IF(BB5='Section B Secondary Beam Design'!$G$16,'Section B Secondary Beam Design'!$G$16,IF(BB5+$BC$2&gt;$AC$15,'Section B Secondary Beam Design'!$G$16,BB5+$BC$2)))</f>
        <v/>
      </c>
      <c r="BC6" s="73"/>
      <c r="BD6" s="269" t="str">
        <f>IF(OR('_SB Analysis'!$I$25&lt;&gt;"OK",COUNT('Section B Secondary Beam Design'!$G$16)&lt;&gt;1,'Section B Secondary Beam Design'!$G$16&lt;0),"",IF(BE6&lt;&gt;'Section B Secondary Beam Design'!$G$16,$BD$2,'Section B Secondary Beam Design'!$G$16))</f>
        <v/>
      </c>
      <c r="BE6" s="70" t="str">
        <f>IF(OR('_SB Analysis'!$I$25&lt;&gt;"OK",COUNT('Section B Secondary Beam Design'!$G$16)&lt;&gt;1,'Section B Secondary Beam Design'!$G$16&lt;0),"",IF(BE5='Section B Secondary Beam Design'!$G$16,'Section B Secondary Beam Design'!$G$16,IF(BE5+$BF$2&gt;$AC$15,'Section B Secondary Beam Design'!$G$16,BE5+$BF$2)))</f>
        <v/>
      </c>
      <c r="BF6" s="70"/>
      <c r="BG6" s="70" t="str">
        <f>IF(OR('_SB Analysis'!$I$25&lt;&gt;"OK",COUNT('Section B Secondary Beam Design'!$G$16)&lt;&gt;1,'Section B Secondary Beam Design'!$G$16&lt;0),"",IF(BH6&lt;&gt;'Section B Secondary Beam Design'!$G$16,$BG$2,'Section B Secondary Beam Design'!$G$16))</f>
        <v/>
      </c>
      <c r="BH6" s="70" t="str">
        <f>IF(OR('_SB Analysis'!$I$25&lt;&gt;"OK",COUNT('Section B Secondary Beam Design'!$G$16)&lt;&gt;1,'Section B Secondary Beam Design'!$G$16&lt;0),"",IF(BH5='Section B Secondary Beam Design'!$G$16,'Section B Secondary Beam Design'!$G$16,IF(BH5+$BI$2&gt;$AC$15,'Section B Secondary Beam Design'!$G$16,BH5+$BI$2)))</f>
        <v/>
      </c>
      <c r="BI6" s="70"/>
      <c r="BJ6" s="70" t="str">
        <f>IF(OR('_SB Analysis'!$I$25&lt;&gt;"OK",COUNT('Section B Secondary Beam Design'!$G$16)&lt;&gt;1,'Section B Secondary Beam Design'!$G$16&lt;0),"",IF(BK6&lt;&gt;'Section B Secondary Beam Design'!$G$16,$BJ$2,'Section B Secondary Beam Design'!$G$16))</f>
        <v/>
      </c>
      <c r="BK6" s="70" t="str">
        <f>IF(OR('_SB Analysis'!$I$25&lt;&gt;"OK",COUNT('Section B Secondary Beam Design'!$G$16)&lt;&gt;1,'Section B Secondary Beam Design'!$G$16&lt;0),"",IF(BK5='Section B Secondary Beam Design'!$G$16,'Section B Secondary Beam Design'!$G$16,IF(BK5+$BL$2&gt;$AC$15,'Section B Secondary Beam Design'!$G$16,BK5+$BL$2)))</f>
        <v/>
      </c>
      <c r="BL6" s="70"/>
      <c r="BM6" s="70" t="str">
        <f>IF(OR('_SB Analysis'!$I$25&lt;&gt;"OK",COUNT('Section B Secondary Beam Design'!$G$16)&lt;&gt;1,'Section B Secondary Beam Design'!$G$16&lt;0),"",IF(BN6&lt;&gt;'Section B Secondary Beam Design'!$G$16,$BM$2,'Section B Secondary Beam Design'!$G$16))</f>
        <v/>
      </c>
      <c r="BN6" s="70" t="str">
        <f>IF(OR('_SB Analysis'!$I$25&lt;&gt;"OK",COUNT('Section B Secondary Beam Design'!$G$16)&lt;&gt;1,'Section B Secondary Beam Design'!$G$16&lt;0),"",IF(BN5='Section B Secondary Beam Design'!$G$16,'Section B Secondary Beam Design'!$G$16,IF(BN5+$BO$2&gt;$AC$15,'Section B Secondary Beam Design'!$G$16,BN5+$BO$2)))</f>
        <v/>
      </c>
      <c r="BO6" s="73"/>
      <c r="BP6" s="70"/>
      <c r="BQ6" s="70"/>
    </row>
    <row r="7" spans="15:69">
      <c r="P7" s="70"/>
      <c r="Q7" s="70"/>
      <c r="Y7" s="70"/>
      <c r="Z7" s="70"/>
      <c r="AA7" s="70" t="str">
        <f>IF(OR('_SB Analysis'!$I$25&lt;&gt;"OK",COUNT('Section B Secondary Beam Design'!$G$16)&lt;&gt;1,'Section B Secondary Beam Design'!$G$16&lt;0),"",Z4)</f>
        <v/>
      </c>
      <c r="AB7" s="70">
        <v>0</v>
      </c>
      <c r="AC7" s="70" t="str">
        <f>IF(OR('_SB Analysis'!$I$25&lt;&gt;"OK",COUNT('Section B Secondary Beam Design'!$G$16)&lt;&gt;1,'Section B Secondary Beam Design'!$G$16&lt;0),"",IF('Section B Secondary Beam Design'!C43=0,"",'Section B Secondary Beam Design'!C43&amp;"T"&amp;'Section B Secondary Beam Design'!D43))</f>
        <v/>
      </c>
      <c r="AD7" s="70" t="str">
        <f>IF(OR('_SB Analysis'!$I$25&lt;&gt;"OK",COUNT('Section B Secondary Beam Design'!$G$16)&lt;&gt;1,'Section B Secondary Beam Design'!$G$16&lt;0),"",BA2)</f>
        <v/>
      </c>
      <c r="AE7" s="70" t="str">
        <f>IF(OR('_SB Analysis'!$I$25&lt;&gt;"OK",COUNT('Section B Secondary Beam Design'!$G$16)&lt;&gt;1,'Section B Secondary Beam Design'!$G$16&lt;0),"",AD7)</f>
        <v/>
      </c>
      <c r="AF7" s="70"/>
      <c r="AG7" s="70"/>
      <c r="AH7" s="70" t="str">
        <f>IF(OR('_SB Analysis'!$I$25&lt;&gt;"OK",COUNT('Section B Secondary Beam Design'!$G$16)&lt;&gt;1,'Section B Secondary Beam Design'!$G$16&lt;0),"",IF('Section B Secondary Beam Design'!C47=0,"",'Section B Secondary Beam Design'!C47&amp;"T"&amp;'Section B Secondary Beam Design'!D47))</f>
        <v/>
      </c>
      <c r="AI7" s="70" t="str">
        <f>IF(OR('_SB Analysis'!$I$25&lt;&gt;"OK",COUNT('Section B Secondary Beam Design'!$G$16)&lt;&gt;1,'Section B Secondary Beam Design'!$G$16&lt;0),"",BM2)</f>
        <v/>
      </c>
      <c r="AJ7" s="70" t="str">
        <f>IF(OR('_SB Analysis'!$I$25&lt;&gt;"OK",COUNT('Section B Secondary Beam Design'!$G$16)&lt;&gt;1,'Section B Secondary Beam Design'!$G$16&lt;0),"",AI7)</f>
        <v/>
      </c>
      <c r="AK7" s="74">
        <v>1</v>
      </c>
      <c r="AL7" s="70" t="str">
        <f>IF(OR('_SB Analysis'!$I$25&lt;&gt;"OK",COUNT('Section B Secondary Beam Design'!$G$16)&lt;&gt;1,'Section B Secondary Beam Design'!$G$16&lt;0),"",AL6)</f>
        <v/>
      </c>
      <c r="AM7" s="70" t="str">
        <f>IF(OR('_SB Analysis'!$I$25&lt;&gt;"OK",COUNT('Section B Secondary Beam Design'!$G$16)&lt;&gt;1,'Section B Secondary Beam Design'!$G$16&lt;0),"",IF($AL$3="",$AM$6,IF(AM6+$AL$3&gt;$AM$2,$AM$6,AM6+$AL$3)))</f>
        <v/>
      </c>
      <c r="AN7" s="73" t="str">
        <f>IF(OR('_SB Analysis'!$I$25&lt;&gt;"OK",COUNT('Section B Secondary Beam Design'!$G$16)&lt;&gt;1,'Section B Secondary Beam Design'!$G$16&lt;0),"",$AC$15)</f>
        <v/>
      </c>
      <c r="AO7" s="70"/>
      <c r="AP7" s="70"/>
      <c r="AQ7" s="70"/>
      <c r="AR7" s="269" t="str">
        <f>IF(OR('_SB Analysis'!$I$25&lt;&gt;"OK",COUNT('Section B Secondary Beam Design'!$G$16)&lt;&gt;1,'Section B Secondary Beam Design'!$G$16&lt;0),"",IF(AS7&lt;&gt;'Section B Secondary Beam Design'!$G$16,$AR$2,'Section B Secondary Beam Design'!$G$16))</f>
        <v/>
      </c>
      <c r="AS7" s="70" t="str">
        <f>IF(OR('_SB Analysis'!$I$25&lt;&gt;"OK",COUNT('Section B Secondary Beam Design'!$G$16)&lt;&gt;1,'Section B Secondary Beam Design'!$G$16&lt;0),"",IF(AS6='Section B Secondary Beam Design'!$G$16,'Section B Secondary Beam Design'!$G$16,IF(AS6+$AT$2&gt;$AC$15,'Section B Secondary Beam Design'!$G$16,AS6+$AT$2)))</f>
        <v/>
      </c>
      <c r="AT7" s="70"/>
      <c r="AU7" s="70" t="str">
        <f>IF(OR('_SB Analysis'!$I$25&lt;&gt;"OK",COUNT('Section B Secondary Beam Design'!$G$16)&lt;&gt;1,'Section B Secondary Beam Design'!$G$16&lt;0),"",IF(AV7&lt;&gt;'Section B Secondary Beam Design'!$G$16,$AU$2,'Section B Secondary Beam Design'!$G$16))</f>
        <v/>
      </c>
      <c r="AV7" s="70" t="str">
        <f>IF(OR('_SB Analysis'!$I$25&lt;&gt;"OK",COUNT('Section B Secondary Beam Design'!$G$16)&lt;&gt;1,'Section B Secondary Beam Design'!$G$16&lt;0),"",IF(AV6='Section B Secondary Beam Design'!$G$16,'Section B Secondary Beam Design'!$G$16,IF(AV6+$AW$2&gt;$AC$15,'Section B Secondary Beam Design'!$G$16,AV6+$AW$2)))</f>
        <v/>
      </c>
      <c r="AW7" s="70"/>
      <c r="AX7" s="70" t="str">
        <f>IF(OR('_SB Analysis'!$I$25&lt;&gt;"OK",COUNT('Section B Secondary Beam Design'!$G$16)&lt;&gt;1,'Section B Secondary Beam Design'!$G$16&lt;0),"",IF(AY7&lt;&gt;'Section B Secondary Beam Design'!$G$16,$AX$2,'Section B Secondary Beam Design'!$G$16))</f>
        <v/>
      </c>
      <c r="AY7" s="70" t="str">
        <f>IF(OR('_SB Analysis'!$I$25&lt;&gt;"OK",COUNT('Section B Secondary Beam Design'!$G$16)&lt;&gt;1,'Section B Secondary Beam Design'!$G$16&lt;0),"",IF(AY6='Section B Secondary Beam Design'!$G$16,'Section B Secondary Beam Design'!$G$16,IF(AY6+$AZ$2&gt;$AC$15,'Section B Secondary Beam Design'!$G$16,AY6+$AZ$2)))</f>
        <v/>
      </c>
      <c r="AZ7" s="70"/>
      <c r="BA7" s="70" t="str">
        <f>IF(OR('_SB Analysis'!$I$25&lt;&gt;"OK",COUNT('Section B Secondary Beam Design'!$G$16)&lt;&gt;1,'Section B Secondary Beam Design'!$G$16&lt;0),"",IF(BB7&lt;&gt;'Section B Secondary Beam Design'!$G$16,$BA$2,'Section B Secondary Beam Design'!$G$16))</f>
        <v/>
      </c>
      <c r="BB7" s="70" t="str">
        <f>IF(OR('_SB Analysis'!$I$25&lt;&gt;"OK",COUNT('Section B Secondary Beam Design'!$G$16)&lt;&gt;1,'Section B Secondary Beam Design'!$G$16&lt;0),"",IF(BB6='Section B Secondary Beam Design'!$G$16,'Section B Secondary Beam Design'!$G$16,IF(BB6+$BC$2&gt;$AC$15,'Section B Secondary Beam Design'!$G$16,BB6+$BC$2)))</f>
        <v/>
      </c>
      <c r="BC7" s="73"/>
      <c r="BD7" s="269" t="str">
        <f>IF(OR('_SB Analysis'!$I$25&lt;&gt;"OK",COUNT('Section B Secondary Beam Design'!$G$16)&lt;&gt;1,'Section B Secondary Beam Design'!$G$16&lt;0),"",IF(BE7&lt;&gt;'Section B Secondary Beam Design'!$G$16,$BD$2,'Section B Secondary Beam Design'!$G$16))</f>
        <v/>
      </c>
      <c r="BE7" s="70" t="str">
        <f>IF(OR('_SB Analysis'!$I$25&lt;&gt;"OK",COUNT('Section B Secondary Beam Design'!$G$16)&lt;&gt;1,'Section B Secondary Beam Design'!$G$16&lt;0),"",IF(BE6='Section B Secondary Beam Design'!$G$16,'Section B Secondary Beam Design'!$G$16,IF(BE6+$BF$2&gt;$AC$15,'Section B Secondary Beam Design'!$G$16,BE6+$BF$2)))</f>
        <v/>
      </c>
      <c r="BF7" s="70"/>
      <c r="BG7" s="70" t="str">
        <f>IF(OR('_SB Analysis'!$I$25&lt;&gt;"OK",COUNT('Section B Secondary Beam Design'!$G$16)&lt;&gt;1,'Section B Secondary Beam Design'!$G$16&lt;0),"",IF(BH7&lt;&gt;'Section B Secondary Beam Design'!$G$16,$BG$2,'Section B Secondary Beam Design'!$G$16))</f>
        <v/>
      </c>
      <c r="BH7" s="70" t="str">
        <f>IF(OR('_SB Analysis'!$I$25&lt;&gt;"OK",COUNT('Section B Secondary Beam Design'!$G$16)&lt;&gt;1,'Section B Secondary Beam Design'!$G$16&lt;0),"",IF(BH6='Section B Secondary Beam Design'!$G$16,'Section B Secondary Beam Design'!$G$16,IF(BH6+$BI$2&gt;$AC$15,'Section B Secondary Beam Design'!$G$16,BH6+$BI$2)))</f>
        <v/>
      </c>
      <c r="BI7" s="70"/>
      <c r="BJ7" s="70" t="str">
        <f>IF(OR('_SB Analysis'!$I$25&lt;&gt;"OK",COUNT('Section B Secondary Beam Design'!$G$16)&lt;&gt;1,'Section B Secondary Beam Design'!$G$16&lt;0),"",IF(BK7&lt;&gt;'Section B Secondary Beam Design'!$G$16,$BJ$2,'Section B Secondary Beam Design'!$G$16))</f>
        <v/>
      </c>
      <c r="BK7" s="70" t="str">
        <f>IF(OR('_SB Analysis'!$I$25&lt;&gt;"OK",COUNT('Section B Secondary Beam Design'!$G$16)&lt;&gt;1,'Section B Secondary Beam Design'!$G$16&lt;0),"",IF(BK6='Section B Secondary Beam Design'!$G$16,'Section B Secondary Beam Design'!$G$16,IF(BK6+$BL$2&gt;$AC$15,'Section B Secondary Beam Design'!$G$16,BK6+$BL$2)))</f>
        <v/>
      </c>
      <c r="BL7" s="70"/>
      <c r="BM7" s="70" t="str">
        <f>IF(OR('_SB Analysis'!$I$25&lt;&gt;"OK",COUNT('Section B Secondary Beam Design'!$G$16)&lt;&gt;1,'Section B Secondary Beam Design'!$G$16&lt;0),"",IF(BN7&lt;&gt;'Section B Secondary Beam Design'!$G$16,$BM$2,'Section B Secondary Beam Design'!$G$16))</f>
        <v/>
      </c>
      <c r="BN7" s="70" t="str">
        <f>IF(OR('_SB Analysis'!$I$25&lt;&gt;"OK",COUNT('Section B Secondary Beam Design'!$G$16)&lt;&gt;1,'Section B Secondary Beam Design'!$G$16&lt;0),"",IF(BN6='Section B Secondary Beam Design'!$G$16,'Section B Secondary Beam Design'!$G$16,IF(BN6+$BO$2&gt;$AC$15,'Section B Secondary Beam Design'!$G$16,BN6+$BO$2)))</f>
        <v/>
      </c>
      <c r="BO7" s="73"/>
      <c r="BP7" s="70"/>
      <c r="BQ7" s="70"/>
    </row>
    <row r="8" spans="15:69">
      <c r="P8" s="76"/>
      <c r="Q8" s="76"/>
      <c r="Y8" s="70"/>
      <c r="Z8" s="70"/>
      <c r="AA8" s="70">
        <v>0</v>
      </c>
      <c r="AB8" s="70">
        <v>0</v>
      </c>
      <c r="AC8" s="70"/>
      <c r="AD8" s="70"/>
      <c r="AE8" s="70"/>
      <c r="AF8" s="70"/>
      <c r="AG8" s="70"/>
      <c r="AH8" s="70"/>
      <c r="AI8" s="70"/>
      <c r="AJ8" s="70"/>
      <c r="AK8" s="74">
        <v>2</v>
      </c>
      <c r="AL8" s="70" t="str">
        <f>IF(OR('_SB Analysis'!$I$25&lt;&gt;"OK",COUNT('Section B Secondary Beam Design'!$G$16)&lt;&gt;1,'Section B Secondary Beam Design'!$G$16&lt;0),"",AL7)</f>
        <v/>
      </c>
      <c r="AM8" s="70" t="str">
        <f>IF(OR('_SB Analysis'!$I$25&lt;&gt;"OK",COUNT('Section B Secondary Beam Design'!$G$16)&lt;&gt;1,'Section B Secondary Beam Design'!$G$16&lt;0),"",IF($AL$3="",$AM$6,IF(AM7+$AL$3&gt;$AM$2,$AM$6,AM7+$AL$3)))</f>
        <v/>
      </c>
      <c r="AN8" s="73" t="str">
        <f>IF(OR('_SB Analysis'!$I$25&lt;&gt;"OK",COUNT('Section B Secondary Beam Design'!$G$16)&lt;&gt;1,'Section B Secondary Beam Design'!$G$16&lt;0),"",$AC$15)</f>
        <v/>
      </c>
      <c r="AO8" s="70"/>
      <c r="AP8" s="76"/>
      <c r="AQ8" s="76"/>
      <c r="AR8" s="269" t="str">
        <f>IF(OR('_SB Analysis'!$I$25&lt;&gt;"OK",COUNT('Section B Secondary Beam Design'!$G$16)&lt;&gt;1,'Section B Secondary Beam Design'!$G$16&lt;0),"",IF(AS8&lt;&gt;'Section B Secondary Beam Design'!$G$16,$AR$2,'Section B Secondary Beam Design'!$G$16))</f>
        <v/>
      </c>
      <c r="AS8" s="70" t="str">
        <f>IF(OR('_SB Analysis'!$I$25&lt;&gt;"OK",COUNT('Section B Secondary Beam Design'!$G$16)&lt;&gt;1,'Section B Secondary Beam Design'!$G$16&lt;0),"",IF(AS7='Section B Secondary Beam Design'!$G$16,'Section B Secondary Beam Design'!$G$16,IF(AS7+$AT$2&gt;$AC$15,'Section B Secondary Beam Design'!$G$16,AS7+$AT$2)))</f>
        <v/>
      </c>
      <c r="AT8" s="70"/>
      <c r="AU8" s="70" t="str">
        <f>IF(OR('_SB Analysis'!$I$25&lt;&gt;"OK",COUNT('Section B Secondary Beam Design'!$G$16)&lt;&gt;1,'Section B Secondary Beam Design'!$G$16&lt;0),"",IF(AV8&lt;&gt;'Section B Secondary Beam Design'!$G$16,$AU$2,'Section B Secondary Beam Design'!$G$16))</f>
        <v/>
      </c>
      <c r="AV8" s="70" t="str">
        <f>IF(OR('_SB Analysis'!$I$25&lt;&gt;"OK",COUNT('Section B Secondary Beam Design'!$G$16)&lt;&gt;1,'Section B Secondary Beam Design'!$G$16&lt;0),"",IF(AV7='Section B Secondary Beam Design'!$G$16,'Section B Secondary Beam Design'!$G$16,IF(AV7+$AW$2&gt;$AC$15,'Section B Secondary Beam Design'!$G$16,AV7+$AW$2)))</f>
        <v/>
      </c>
      <c r="AW8" s="70"/>
      <c r="AX8" s="70" t="str">
        <f>IF(OR('_SB Analysis'!$I$25&lt;&gt;"OK",COUNT('Section B Secondary Beam Design'!$G$16)&lt;&gt;1,'Section B Secondary Beam Design'!$G$16&lt;0),"",IF(AY8&lt;&gt;'Section B Secondary Beam Design'!$G$16,$AX$2,'Section B Secondary Beam Design'!$G$16))</f>
        <v/>
      </c>
      <c r="AY8" s="70" t="str">
        <f>IF(OR('_SB Analysis'!$I$25&lt;&gt;"OK",COUNT('Section B Secondary Beam Design'!$G$16)&lt;&gt;1,'Section B Secondary Beam Design'!$G$16&lt;0),"",IF(AY7='Section B Secondary Beam Design'!$G$16,'Section B Secondary Beam Design'!$G$16,IF(AY7+$AZ$2&gt;$AC$15,'Section B Secondary Beam Design'!$G$16,AY7+$AZ$2)))</f>
        <v/>
      </c>
      <c r="AZ8" s="70"/>
      <c r="BA8" s="70" t="str">
        <f>IF(OR('_SB Analysis'!$I$25&lt;&gt;"OK",COUNT('Section B Secondary Beam Design'!$G$16)&lt;&gt;1,'Section B Secondary Beam Design'!$G$16&lt;0),"",IF(BB8&lt;&gt;'Section B Secondary Beam Design'!$G$16,$BA$2,'Section B Secondary Beam Design'!$G$16))</f>
        <v/>
      </c>
      <c r="BB8" s="70" t="str">
        <f>IF(OR('_SB Analysis'!$I$25&lt;&gt;"OK",COUNT('Section B Secondary Beam Design'!$G$16)&lt;&gt;1,'Section B Secondary Beam Design'!$G$16&lt;0),"",IF(BB7='Section B Secondary Beam Design'!$G$16,'Section B Secondary Beam Design'!$G$16,IF(BB7+$BC$2&gt;$AC$15,'Section B Secondary Beam Design'!$G$16,BB7+$BC$2)))</f>
        <v/>
      </c>
      <c r="BC8" s="73"/>
      <c r="BD8" s="269" t="str">
        <f>IF(OR('_SB Analysis'!$I$25&lt;&gt;"OK",COUNT('Section B Secondary Beam Design'!$G$16)&lt;&gt;1,'Section B Secondary Beam Design'!$G$16&lt;0),"",IF(BE8&lt;&gt;'Section B Secondary Beam Design'!$G$16,$BD$2,'Section B Secondary Beam Design'!$G$16))</f>
        <v/>
      </c>
      <c r="BE8" s="70" t="str">
        <f>IF(OR('_SB Analysis'!$I$25&lt;&gt;"OK",COUNT('Section B Secondary Beam Design'!$G$16)&lt;&gt;1,'Section B Secondary Beam Design'!$G$16&lt;0),"",IF(BE7='Section B Secondary Beam Design'!$G$16,'Section B Secondary Beam Design'!$G$16,IF(BE7+$BF$2&gt;$AC$15,'Section B Secondary Beam Design'!$G$16,BE7+$BF$2)))</f>
        <v/>
      </c>
      <c r="BF8" s="70"/>
      <c r="BG8" s="70" t="str">
        <f>IF(OR('_SB Analysis'!$I$25&lt;&gt;"OK",COUNT('Section B Secondary Beam Design'!$G$16)&lt;&gt;1,'Section B Secondary Beam Design'!$G$16&lt;0),"",IF(BH8&lt;&gt;'Section B Secondary Beam Design'!$G$16,$BG$2,'Section B Secondary Beam Design'!$G$16))</f>
        <v/>
      </c>
      <c r="BH8" s="70" t="str">
        <f>IF(OR('_SB Analysis'!$I$25&lt;&gt;"OK",COUNT('Section B Secondary Beam Design'!$G$16)&lt;&gt;1,'Section B Secondary Beam Design'!$G$16&lt;0),"",IF(BH7='Section B Secondary Beam Design'!$G$16,'Section B Secondary Beam Design'!$G$16,IF(BH7+$BI$2&gt;$AC$15,'Section B Secondary Beam Design'!$G$16,BH7+$BI$2)))</f>
        <v/>
      </c>
      <c r="BI8" s="70"/>
      <c r="BJ8" s="70" t="str">
        <f>IF(OR('_SB Analysis'!$I$25&lt;&gt;"OK",COUNT('Section B Secondary Beam Design'!$G$16)&lt;&gt;1,'Section B Secondary Beam Design'!$G$16&lt;0),"",IF(BK8&lt;&gt;'Section B Secondary Beam Design'!$G$16,$BJ$2,'Section B Secondary Beam Design'!$G$16))</f>
        <v/>
      </c>
      <c r="BK8" s="70" t="str">
        <f>IF(OR('_SB Analysis'!$I$25&lt;&gt;"OK",COUNT('Section B Secondary Beam Design'!$G$16)&lt;&gt;1,'Section B Secondary Beam Design'!$G$16&lt;0),"",IF(BK7='Section B Secondary Beam Design'!$G$16,'Section B Secondary Beam Design'!$G$16,IF(BK7+$BL$2&gt;$AC$15,'Section B Secondary Beam Design'!$G$16,BK7+$BL$2)))</f>
        <v/>
      </c>
      <c r="BL8" s="70"/>
      <c r="BM8" s="70" t="str">
        <f>IF(OR('_SB Analysis'!$I$25&lt;&gt;"OK",COUNT('Section B Secondary Beam Design'!$G$16)&lt;&gt;1,'Section B Secondary Beam Design'!$G$16&lt;0),"",IF(BN8&lt;&gt;'Section B Secondary Beam Design'!$G$16,$BM$2,'Section B Secondary Beam Design'!$G$16))</f>
        <v/>
      </c>
      <c r="BN8" s="70" t="str">
        <f>IF(OR('_SB Analysis'!$I$25&lt;&gt;"OK",COUNT('Section B Secondary Beam Design'!$G$16)&lt;&gt;1,'Section B Secondary Beam Design'!$G$16&lt;0),"",IF(BN7='Section B Secondary Beam Design'!$G$16,'Section B Secondary Beam Design'!$G$16,IF(BN7+$BO$2&gt;$AC$15,'Section B Secondary Beam Design'!$G$16,BN7+$BO$2)))</f>
        <v/>
      </c>
      <c r="BO8" s="73"/>
      <c r="BP8" s="70"/>
      <c r="BQ8" s="70"/>
    </row>
    <row r="9" spans="15:69">
      <c r="P9" s="76"/>
      <c r="Q9" s="76"/>
      <c r="Y9" s="76"/>
      <c r="Z9" s="76"/>
      <c r="AA9" s="76"/>
      <c r="AB9" s="76"/>
      <c r="AC9" s="76"/>
      <c r="AD9" s="76"/>
      <c r="AE9" s="76"/>
      <c r="AF9" s="76"/>
      <c r="AG9" s="76"/>
      <c r="AH9" s="76"/>
      <c r="AI9" s="76"/>
      <c r="AJ9" s="76"/>
      <c r="AK9" s="74">
        <v>3</v>
      </c>
      <c r="AL9" s="70" t="str">
        <f>IF(OR('_SB Analysis'!$I$25&lt;&gt;"OK",COUNT('Section B Secondary Beam Design'!$G$16)&lt;&gt;1,'Section B Secondary Beam Design'!$G$16&lt;0),"",AL8)</f>
        <v/>
      </c>
      <c r="AM9" s="70" t="str">
        <f>IF(OR('_SB Analysis'!$I$25&lt;&gt;"OK",COUNT('Section B Secondary Beam Design'!$G$16)&lt;&gt;1,'Section B Secondary Beam Design'!$G$16&lt;0),"",IF($AL$3="",$AM$6,IF(AM8+$AL$3&gt;$AM$2,$AM$6,AM8+$AL$3)))</f>
        <v/>
      </c>
      <c r="AN9" s="73" t="str">
        <f>IF(OR('_SB Analysis'!$I$25&lt;&gt;"OK",COUNT('Section B Secondary Beam Design'!$G$16)&lt;&gt;1,'Section B Secondary Beam Design'!$G$16&lt;0),"",$AC$15)</f>
        <v/>
      </c>
      <c r="AO9" s="70"/>
      <c r="AP9" s="76"/>
      <c r="AQ9" s="76"/>
      <c r="AR9" s="269" t="str">
        <f>IF(OR('_SB Analysis'!$I$25&lt;&gt;"OK",COUNT('Section B Secondary Beam Design'!$G$16)&lt;&gt;1,'Section B Secondary Beam Design'!$G$16&lt;0),"",IF(AS9&lt;&gt;'Section B Secondary Beam Design'!$G$16,$AR$2,'Section B Secondary Beam Design'!$G$16))</f>
        <v/>
      </c>
      <c r="AS9" s="70" t="str">
        <f>IF(OR('_SB Analysis'!$I$25&lt;&gt;"OK",COUNT('Section B Secondary Beam Design'!$G$16)&lt;&gt;1,'Section B Secondary Beam Design'!$G$16&lt;0),"",IF(AS8='Section B Secondary Beam Design'!$G$16,'Section B Secondary Beam Design'!$G$16,IF(AS8+$AT$2&gt;$AC$15,'Section B Secondary Beam Design'!$G$16,AS8+$AT$2)))</f>
        <v/>
      </c>
      <c r="AT9" s="70"/>
      <c r="AU9" s="70" t="str">
        <f>IF(OR('_SB Analysis'!$I$25&lt;&gt;"OK",COUNT('Section B Secondary Beam Design'!$G$16)&lt;&gt;1,'Section B Secondary Beam Design'!$G$16&lt;0),"",IF(AV9&lt;&gt;'Section B Secondary Beam Design'!$G$16,$AU$2,'Section B Secondary Beam Design'!$G$16))</f>
        <v/>
      </c>
      <c r="AV9" s="70" t="str">
        <f>IF(OR('_SB Analysis'!$I$25&lt;&gt;"OK",COUNT('Section B Secondary Beam Design'!$G$16)&lt;&gt;1,'Section B Secondary Beam Design'!$G$16&lt;0),"",IF(AV8='Section B Secondary Beam Design'!$G$16,'Section B Secondary Beam Design'!$G$16,IF(AV8+$AW$2&gt;$AC$15,'Section B Secondary Beam Design'!$G$16,AV8+$AW$2)))</f>
        <v/>
      </c>
      <c r="AW9" s="70"/>
      <c r="AX9" s="70" t="str">
        <f>IF(OR('_SB Analysis'!$I$25&lt;&gt;"OK",COUNT('Section B Secondary Beam Design'!$G$16)&lt;&gt;1,'Section B Secondary Beam Design'!$G$16&lt;0),"",IF(AY9&lt;&gt;'Section B Secondary Beam Design'!$G$16,$AX$2,'Section B Secondary Beam Design'!$G$16))</f>
        <v/>
      </c>
      <c r="AY9" s="70" t="str">
        <f>IF(OR('_SB Analysis'!$I$25&lt;&gt;"OK",COUNT('Section B Secondary Beam Design'!$G$16)&lt;&gt;1,'Section B Secondary Beam Design'!$G$16&lt;0),"",IF(AY8='Section B Secondary Beam Design'!$G$16,'Section B Secondary Beam Design'!$G$16,IF(AY8+$AZ$2&gt;$AC$15,'Section B Secondary Beam Design'!$G$16,AY8+$AZ$2)))</f>
        <v/>
      </c>
      <c r="AZ9" s="70"/>
      <c r="BA9" s="70" t="str">
        <f>IF(OR('_SB Analysis'!$I$25&lt;&gt;"OK",COUNT('Section B Secondary Beam Design'!$G$16)&lt;&gt;1,'Section B Secondary Beam Design'!$G$16&lt;0),"",IF(BB9&lt;&gt;'Section B Secondary Beam Design'!$G$16,$BA$2,'Section B Secondary Beam Design'!$G$16))</f>
        <v/>
      </c>
      <c r="BB9" s="70" t="str">
        <f>IF(OR('_SB Analysis'!$I$25&lt;&gt;"OK",COUNT('Section B Secondary Beam Design'!$G$16)&lt;&gt;1,'Section B Secondary Beam Design'!$G$16&lt;0),"",IF(BB8='Section B Secondary Beam Design'!$G$16,'Section B Secondary Beam Design'!$G$16,IF(BB8+$BC$2&gt;$AC$15,'Section B Secondary Beam Design'!$G$16,BB8+$BC$2)))</f>
        <v/>
      </c>
      <c r="BC9" s="73"/>
      <c r="BD9" s="269" t="str">
        <f>IF(OR('_SB Analysis'!$I$25&lt;&gt;"OK",COUNT('Section B Secondary Beam Design'!$G$16)&lt;&gt;1,'Section B Secondary Beam Design'!$G$16&lt;0),"",IF(BE9&lt;&gt;'Section B Secondary Beam Design'!$G$16,$BD$2,'Section B Secondary Beam Design'!$G$16))</f>
        <v/>
      </c>
      <c r="BE9" s="70" t="str">
        <f>IF(OR('_SB Analysis'!$I$25&lt;&gt;"OK",COUNT('Section B Secondary Beam Design'!$G$16)&lt;&gt;1,'Section B Secondary Beam Design'!$G$16&lt;0),"",IF(BE8='Section B Secondary Beam Design'!$G$16,'Section B Secondary Beam Design'!$G$16,IF(BE8+$BF$2&gt;$AC$15,'Section B Secondary Beam Design'!$G$16,BE8+$BF$2)))</f>
        <v/>
      </c>
      <c r="BF9" s="70"/>
      <c r="BG9" s="70" t="str">
        <f>IF(OR('_SB Analysis'!$I$25&lt;&gt;"OK",COUNT('Section B Secondary Beam Design'!$G$16)&lt;&gt;1,'Section B Secondary Beam Design'!$G$16&lt;0),"",IF(BH9&lt;&gt;'Section B Secondary Beam Design'!$G$16,$BG$2,'Section B Secondary Beam Design'!$G$16))</f>
        <v/>
      </c>
      <c r="BH9" s="70" t="str">
        <f>IF(OR('_SB Analysis'!$I$25&lt;&gt;"OK",COUNT('Section B Secondary Beam Design'!$G$16)&lt;&gt;1,'Section B Secondary Beam Design'!$G$16&lt;0),"",IF(BH8='Section B Secondary Beam Design'!$G$16,'Section B Secondary Beam Design'!$G$16,IF(BH8+$BI$2&gt;$AC$15,'Section B Secondary Beam Design'!$G$16,BH8+$BI$2)))</f>
        <v/>
      </c>
      <c r="BI9" s="70"/>
      <c r="BJ9" s="70" t="str">
        <f>IF(OR('_SB Analysis'!$I$25&lt;&gt;"OK",COUNT('Section B Secondary Beam Design'!$G$16)&lt;&gt;1,'Section B Secondary Beam Design'!$G$16&lt;0),"",IF(BK9&lt;&gt;'Section B Secondary Beam Design'!$G$16,$BJ$2,'Section B Secondary Beam Design'!$G$16))</f>
        <v/>
      </c>
      <c r="BK9" s="70" t="str">
        <f>IF(OR('_SB Analysis'!$I$25&lt;&gt;"OK",COUNT('Section B Secondary Beam Design'!$G$16)&lt;&gt;1,'Section B Secondary Beam Design'!$G$16&lt;0),"",IF(BK8='Section B Secondary Beam Design'!$G$16,'Section B Secondary Beam Design'!$G$16,IF(BK8+$BL$2&gt;$AC$15,'Section B Secondary Beam Design'!$G$16,BK8+$BL$2)))</f>
        <v/>
      </c>
      <c r="BL9" s="70"/>
      <c r="BM9" s="70" t="str">
        <f>IF(OR('_SB Analysis'!$I$25&lt;&gt;"OK",COUNT('Section B Secondary Beam Design'!$G$16)&lt;&gt;1,'Section B Secondary Beam Design'!$G$16&lt;0),"",IF(BN9&lt;&gt;'Section B Secondary Beam Design'!$G$16,$BM$2,'Section B Secondary Beam Design'!$G$16))</f>
        <v/>
      </c>
      <c r="BN9" s="70" t="str">
        <f>IF(OR('_SB Analysis'!$I$25&lt;&gt;"OK",COUNT('Section B Secondary Beam Design'!$G$16)&lt;&gt;1,'Section B Secondary Beam Design'!$G$16&lt;0),"",IF(BN8='Section B Secondary Beam Design'!$G$16,'Section B Secondary Beam Design'!$G$16,IF(BN8+$BO$2&gt;$AC$15,'Section B Secondary Beam Design'!$G$16,BN8+$BO$2)))</f>
        <v/>
      </c>
      <c r="BO9" s="73"/>
      <c r="BP9" s="70"/>
      <c r="BQ9" s="70"/>
    </row>
    <row r="10" spans="15:69">
      <c r="P10" s="70"/>
      <c r="Q10" s="70"/>
      <c r="Y10" s="70"/>
      <c r="Z10" s="70"/>
      <c r="AA10" s="70"/>
      <c r="AB10" s="70"/>
      <c r="AC10" s="70"/>
      <c r="AD10" s="70"/>
      <c r="AE10" s="70" t="str">
        <f>IF(OR('_SB Analysis'!$I$25&lt;&gt;"OK",COUNT('Section B Secondary Beam Design'!$G$16)&lt;&gt;1,'Section B Secondary Beam Design'!$G$16&lt;0),"",AF10)</f>
        <v/>
      </c>
      <c r="AF10" s="70" t="str">
        <f>IF(OR('_SB Analysis'!$I$25&lt;&gt;"OK",COUNT('Section B Secondary Beam Design'!$G$16)&lt;&gt;1,'Section B Secondary Beam Design'!$G$16&lt;0),"",2*'Section B Secondary Beam Design'!G16)</f>
        <v/>
      </c>
      <c r="AG10" s="70"/>
      <c r="AH10" s="70"/>
      <c r="AI10" s="70"/>
      <c r="AJ10" s="70"/>
      <c r="AK10" s="74">
        <v>4</v>
      </c>
      <c r="AL10" s="70" t="str">
        <f>IF(OR('_SB Analysis'!$I$25&lt;&gt;"OK",COUNT('Section B Secondary Beam Design'!$G$16)&lt;&gt;1,'Section B Secondary Beam Design'!$G$16&lt;0),"",AL9)</f>
        <v/>
      </c>
      <c r="AM10" s="70" t="str">
        <f>IF(OR('_SB Analysis'!$I$25&lt;&gt;"OK",COUNT('Section B Secondary Beam Design'!$G$16)&lt;&gt;1,'Section B Secondary Beam Design'!$G$16&lt;0),"",IF($AL$3="",$AM$6,IF(AM9+$AL$3&gt;$AM$2,$AM$6,AM9+$AL$3)))</f>
        <v/>
      </c>
      <c r="AN10" s="73" t="str">
        <f>IF(OR('_SB Analysis'!$I$25&lt;&gt;"OK",COUNT('Section B Secondary Beam Design'!$G$16)&lt;&gt;1,'Section B Secondary Beam Design'!$G$16&lt;0),"",$AC$15)</f>
        <v/>
      </c>
      <c r="AO10" s="70"/>
      <c r="AP10" s="70"/>
      <c r="AQ10" s="70"/>
      <c r="AR10" s="269" t="str">
        <f>IF(OR('_SB Analysis'!$I$25&lt;&gt;"OK",COUNT('Section B Secondary Beam Design'!$G$16)&lt;&gt;1,'Section B Secondary Beam Design'!$G$16&lt;0),"",IF(AS10&lt;&gt;'Section B Secondary Beam Design'!$G$16,$AR$2,'Section B Secondary Beam Design'!$G$16))</f>
        <v/>
      </c>
      <c r="AS10" s="70" t="str">
        <f>IF(OR('_SB Analysis'!$I$25&lt;&gt;"OK",COUNT('Section B Secondary Beam Design'!$G$16)&lt;&gt;1,'Section B Secondary Beam Design'!$G$16&lt;0),"",IF(AS9='Section B Secondary Beam Design'!$G$16,'Section B Secondary Beam Design'!$G$16,IF(AS9+$AT$2&gt;$AC$15,'Section B Secondary Beam Design'!$G$16,AS9+$AT$2)))</f>
        <v/>
      </c>
      <c r="AT10" s="70"/>
      <c r="AU10" s="70" t="str">
        <f>IF(OR('_SB Analysis'!$I$25&lt;&gt;"OK",COUNT('Section B Secondary Beam Design'!$G$16)&lt;&gt;1,'Section B Secondary Beam Design'!$G$16&lt;0),"",IF(AV10&lt;&gt;'Section B Secondary Beam Design'!$G$16,$AU$2,'Section B Secondary Beam Design'!$G$16))</f>
        <v/>
      </c>
      <c r="AV10" s="70" t="str">
        <f>IF(OR('_SB Analysis'!$I$25&lt;&gt;"OK",COUNT('Section B Secondary Beam Design'!$G$16)&lt;&gt;1,'Section B Secondary Beam Design'!$G$16&lt;0),"",IF(AV9='Section B Secondary Beam Design'!$G$16,'Section B Secondary Beam Design'!$G$16,IF(AV9+$AW$2&gt;$AC$15,'Section B Secondary Beam Design'!$G$16,AV9+$AW$2)))</f>
        <v/>
      </c>
      <c r="AW10" s="70"/>
      <c r="AX10" s="70" t="str">
        <f>IF(OR('_SB Analysis'!$I$25&lt;&gt;"OK",COUNT('Section B Secondary Beam Design'!$G$16)&lt;&gt;1,'Section B Secondary Beam Design'!$G$16&lt;0),"",IF(AY10&lt;&gt;'Section B Secondary Beam Design'!$G$16,$AX$2,'Section B Secondary Beam Design'!$G$16))</f>
        <v/>
      </c>
      <c r="AY10" s="70" t="str">
        <f>IF(OR('_SB Analysis'!$I$25&lt;&gt;"OK",COUNT('Section B Secondary Beam Design'!$G$16)&lt;&gt;1,'Section B Secondary Beam Design'!$G$16&lt;0),"",IF(AY9='Section B Secondary Beam Design'!$G$16,'Section B Secondary Beam Design'!$G$16,IF(AY9+$AZ$2&gt;$AC$15,'Section B Secondary Beam Design'!$G$16,AY9+$AZ$2)))</f>
        <v/>
      </c>
      <c r="AZ10" s="70"/>
      <c r="BA10" s="70" t="str">
        <f>IF(OR('_SB Analysis'!$I$25&lt;&gt;"OK",COUNT('Section B Secondary Beam Design'!$G$16)&lt;&gt;1,'Section B Secondary Beam Design'!$G$16&lt;0),"",IF(BB10&lt;&gt;'Section B Secondary Beam Design'!$G$16,$BA$2,'Section B Secondary Beam Design'!$G$16))</f>
        <v/>
      </c>
      <c r="BB10" s="70" t="str">
        <f>IF(OR('_SB Analysis'!$I$25&lt;&gt;"OK",COUNT('Section B Secondary Beam Design'!$G$16)&lt;&gt;1,'Section B Secondary Beam Design'!$G$16&lt;0),"",IF(BB9='Section B Secondary Beam Design'!$G$16,'Section B Secondary Beam Design'!$G$16,IF(BB9+$BC$2&gt;$AC$15,'Section B Secondary Beam Design'!$G$16,BB9+$BC$2)))</f>
        <v/>
      </c>
      <c r="BC10" s="73"/>
      <c r="BD10" s="269" t="str">
        <f>IF(OR('_SB Analysis'!$I$25&lt;&gt;"OK",COUNT('Section B Secondary Beam Design'!$G$16)&lt;&gt;1,'Section B Secondary Beam Design'!$G$16&lt;0),"",IF(BE10&lt;&gt;'Section B Secondary Beam Design'!$G$16,$BD$2,'Section B Secondary Beam Design'!$G$16))</f>
        <v/>
      </c>
      <c r="BE10" s="70" t="str">
        <f>IF(OR('_SB Analysis'!$I$25&lt;&gt;"OK",COUNT('Section B Secondary Beam Design'!$G$16)&lt;&gt;1,'Section B Secondary Beam Design'!$G$16&lt;0),"",IF(BE9='Section B Secondary Beam Design'!$G$16,'Section B Secondary Beam Design'!$G$16,IF(BE9+$BF$2&gt;$AC$15,'Section B Secondary Beam Design'!$G$16,BE9+$BF$2)))</f>
        <v/>
      </c>
      <c r="BF10" s="70"/>
      <c r="BG10" s="70" t="str">
        <f>IF(OR('_SB Analysis'!$I$25&lt;&gt;"OK",COUNT('Section B Secondary Beam Design'!$G$16)&lt;&gt;1,'Section B Secondary Beam Design'!$G$16&lt;0),"",IF(BH10&lt;&gt;'Section B Secondary Beam Design'!$G$16,$BG$2,'Section B Secondary Beam Design'!$G$16))</f>
        <v/>
      </c>
      <c r="BH10" s="70" t="str">
        <f>IF(OR('_SB Analysis'!$I$25&lt;&gt;"OK",COUNT('Section B Secondary Beam Design'!$G$16)&lt;&gt;1,'Section B Secondary Beam Design'!$G$16&lt;0),"",IF(BH9='Section B Secondary Beam Design'!$G$16,'Section B Secondary Beam Design'!$G$16,IF(BH9+$BI$2&gt;$AC$15,'Section B Secondary Beam Design'!$G$16,BH9+$BI$2)))</f>
        <v/>
      </c>
      <c r="BI10" s="70"/>
      <c r="BJ10" s="70" t="str">
        <f>IF(OR('_SB Analysis'!$I$25&lt;&gt;"OK",COUNT('Section B Secondary Beam Design'!$G$16)&lt;&gt;1,'Section B Secondary Beam Design'!$G$16&lt;0),"",IF(BK10&lt;&gt;'Section B Secondary Beam Design'!$G$16,$BJ$2,'Section B Secondary Beam Design'!$G$16))</f>
        <v/>
      </c>
      <c r="BK10" s="70" t="str">
        <f>IF(OR('_SB Analysis'!$I$25&lt;&gt;"OK",COUNT('Section B Secondary Beam Design'!$G$16)&lt;&gt;1,'Section B Secondary Beam Design'!$G$16&lt;0),"",IF(BK9='Section B Secondary Beam Design'!$G$16,'Section B Secondary Beam Design'!$G$16,IF(BK9+$BL$2&gt;$AC$15,'Section B Secondary Beam Design'!$G$16,BK9+$BL$2)))</f>
        <v/>
      </c>
      <c r="BL10" s="70"/>
      <c r="BM10" s="70" t="str">
        <f>IF(OR('_SB Analysis'!$I$25&lt;&gt;"OK",COUNT('Section B Secondary Beam Design'!$G$16)&lt;&gt;1,'Section B Secondary Beam Design'!$G$16&lt;0),"",IF(BN10&lt;&gt;'Section B Secondary Beam Design'!$G$16,$BM$2,'Section B Secondary Beam Design'!$G$16))</f>
        <v/>
      </c>
      <c r="BN10" s="70" t="str">
        <f>IF(OR('_SB Analysis'!$I$25&lt;&gt;"OK",COUNT('Section B Secondary Beam Design'!$G$16)&lt;&gt;1,'Section B Secondary Beam Design'!$G$16&lt;0),"",IF(BN9='Section B Secondary Beam Design'!$G$16,'Section B Secondary Beam Design'!$G$16,IF(BN9+$BO$2&gt;$AC$15,'Section B Secondary Beam Design'!$G$16,BN9+$BO$2)))</f>
        <v/>
      </c>
      <c r="BO10" s="73"/>
      <c r="BP10" s="70"/>
      <c r="BQ10" s="70"/>
    </row>
    <row r="11" spans="15:69">
      <c r="P11" s="70"/>
      <c r="Q11" s="70"/>
      <c r="Y11" s="70"/>
      <c r="Z11" s="70"/>
      <c r="AA11" s="70"/>
      <c r="AB11" s="70"/>
      <c r="AC11" s="70"/>
      <c r="AD11" s="70"/>
      <c r="AE11" s="70" t="str">
        <f>IF(OR('_SB Analysis'!$I$25&lt;&gt;"OK",COUNT('Section B Secondary Beam Design'!$G$16)&lt;&gt;1,'Section B Secondary Beam Design'!$G$16&lt;0),"",AF10)</f>
        <v/>
      </c>
      <c r="AF11" s="70"/>
      <c r="AG11" s="70"/>
      <c r="AH11" s="70"/>
      <c r="AI11" s="70"/>
      <c r="AJ11" s="70"/>
      <c r="AK11" s="74">
        <v>5</v>
      </c>
      <c r="AL11" s="70" t="str">
        <f>IF(OR('_SB Analysis'!$I$25&lt;&gt;"OK",COUNT('Section B Secondary Beam Design'!$G$16)&lt;&gt;1,'Section B Secondary Beam Design'!$G$16&lt;0),"",AL10)</f>
        <v/>
      </c>
      <c r="AM11" s="70" t="str">
        <f>IF(OR('_SB Analysis'!$I$25&lt;&gt;"OK",COUNT('Section B Secondary Beam Design'!$G$16)&lt;&gt;1,'Section B Secondary Beam Design'!$G$16&lt;0),"",IF($AL$3="",$AM$6,IF(AM10+$AL$3&gt;$AM$2,$AM$6,AM10+$AL$3)))</f>
        <v/>
      </c>
      <c r="AN11" s="73" t="str">
        <f>IF(OR('_SB Analysis'!$I$25&lt;&gt;"OK",COUNT('Section B Secondary Beam Design'!$G$16)&lt;&gt;1,'Section B Secondary Beam Design'!$G$16&lt;0),"",$AC$15)</f>
        <v/>
      </c>
      <c r="AO11" s="70"/>
      <c r="AP11" s="70"/>
      <c r="AQ11" s="70"/>
      <c r="AR11" s="269" t="str">
        <f>IF(OR('_SB Analysis'!$I$25&lt;&gt;"OK",COUNT('Section B Secondary Beam Design'!$G$16)&lt;&gt;1,'Section B Secondary Beam Design'!$G$16&lt;0),"",IF(AS11&lt;&gt;'Section B Secondary Beam Design'!$G$16,$AR$2,'Section B Secondary Beam Design'!$G$16))</f>
        <v/>
      </c>
      <c r="AS11" s="70" t="str">
        <f>IF(OR('_SB Analysis'!$I$25&lt;&gt;"OK",COUNT('Section B Secondary Beam Design'!$G$16)&lt;&gt;1,'Section B Secondary Beam Design'!$G$16&lt;0),"",IF(AS10='Section B Secondary Beam Design'!$G$16,'Section B Secondary Beam Design'!$G$16,IF(AS10+$AT$2&gt;$AC$15,'Section B Secondary Beam Design'!$G$16,AS10+$AT$2)))</f>
        <v/>
      </c>
      <c r="AT11" s="70"/>
      <c r="AU11" s="70" t="str">
        <f>IF(OR('_SB Analysis'!$I$25&lt;&gt;"OK",COUNT('Section B Secondary Beam Design'!$G$16)&lt;&gt;1,'Section B Secondary Beam Design'!$G$16&lt;0),"",IF(AV11&lt;&gt;'Section B Secondary Beam Design'!$G$16,$AU$2,'Section B Secondary Beam Design'!$G$16))</f>
        <v/>
      </c>
      <c r="AV11" s="70" t="str">
        <f>IF(OR('_SB Analysis'!$I$25&lt;&gt;"OK",COUNT('Section B Secondary Beam Design'!$G$16)&lt;&gt;1,'Section B Secondary Beam Design'!$G$16&lt;0),"",IF(AV10='Section B Secondary Beam Design'!$G$16,'Section B Secondary Beam Design'!$G$16,IF(AV10+$AW$2&gt;$AC$15,'Section B Secondary Beam Design'!$G$16,AV10+$AW$2)))</f>
        <v/>
      </c>
      <c r="AW11" s="70"/>
      <c r="AX11" s="70" t="str">
        <f>IF(OR('_SB Analysis'!$I$25&lt;&gt;"OK",COUNT('Section B Secondary Beam Design'!$G$16)&lt;&gt;1,'Section B Secondary Beam Design'!$G$16&lt;0),"",IF(AY11&lt;&gt;'Section B Secondary Beam Design'!$G$16,$AX$2,'Section B Secondary Beam Design'!$G$16))</f>
        <v/>
      </c>
      <c r="AY11" s="70" t="str">
        <f>IF(OR('_SB Analysis'!$I$25&lt;&gt;"OK",COUNT('Section B Secondary Beam Design'!$G$16)&lt;&gt;1,'Section B Secondary Beam Design'!$G$16&lt;0),"",IF(AY10='Section B Secondary Beam Design'!$G$16,'Section B Secondary Beam Design'!$G$16,IF(AY10+$AZ$2&gt;$AC$15,'Section B Secondary Beam Design'!$G$16,AY10+$AZ$2)))</f>
        <v/>
      </c>
      <c r="AZ11" s="70"/>
      <c r="BA11" s="70" t="str">
        <f>IF(OR('_SB Analysis'!$I$25&lt;&gt;"OK",COUNT('Section B Secondary Beam Design'!$G$16)&lt;&gt;1,'Section B Secondary Beam Design'!$G$16&lt;0),"",IF(BB11&lt;&gt;'Section B Secondary Beam Design'!$G$16,$BA$2,'Section B Secondary Beam Design'!$G$16))</f>
        <v/>
      </c>
      <c r="BB11" s="70" t="str">
        <f>IF(OR('_SB Analysis'!$I$25&lt;&gt;"OK",COUNT('Section B Secondary Beam Design'!$G$16)&lt;&gt;1,'Section B Secondary Beam Design'!$G$16&lt;0),"",IF(BB10='Section B Secondary Beam Design'!$G$16,'Section B Secondary Beam Design'!$G$16,IF(BB10+$BC$2&gt;$AC$15,'Section B Secondary Beam Design'!$G$16,BB10+$BC$2)))</f>
        <v/>
      </c>
      <c r="BC11" s="73"/>
      <c r="BD11" s="269" t="str">
        <f>IF(OR('_SB Analysis'!$I$25&lt;&gt;"OK",COUNT('Section B Secondary Beam Design'!$G$16)&lt;&gt;1,'Section B Secondary Beam Design'!$G$16&lt;0),"",IF(BE11&lt;&gt;'Section B Secondary Beam Design'!$G$16,$BD$2,'Section B Secondary Beam Design'!$G$16))</f>
        <v/>
      </c>
      <c r="BE11" s="70" t="str">
        <f>IF(OR('_SB Analysis'!$I$25&lt;&gt;"OK",COUNT('Section B Secondary Beam Design'!$G$16)&lt;&gt;1,'Section B Secondary Beam Design'!$G$16&lt;0),"",IF(BE10='Section B Secondary Beam Design'!$G$16,'Section B Secondary Beam Design'!$G$16,IF(BE10+$BF$2&gt;$AC$15,'Section B Secondary Beam Design'!$G$16,BE10+$BF$2)))</f>
        <v/>
      </c>
      <c r="BF11" s="70"/>
      <c r="BG11" s="70" t="str">
        <f>IF(OR('_SB Analysis'!$I$25&lt;&gt;"OK",COUNT('Section B Secondary Beam Design'!$G$16)&lt;&gt;1,'Section B Secondary Beam Design'!$G$16&lt;0),"",IF(BH11&lt;&gt;'Section B Secondary Beam Design'!$G$16,$BG$2,'Section B Secondary Beam Design'!$G$16))</f>
        <v/>
      </c>
      <c r="BH11" s="70" t="str">
        <f>IF(OR('_SB Analysis'!$I$25&lt;&gt;"OK",COUNT('Section B Secondary Beam Design'!$G$16)&lt;&gt;1,'Section B Secondary Beam Design'!$G$16&lt;0),"",IF(BH10='Section B Secondary Beam Design'!$G$16,'Section B Secondary Beam Design'!$G$16,IF(BH10+$BI$2&gt;$AC$15,'Section B Secondary Beam Design'!$G$16,BH10+$BI$2)))</f>
        <v/>
      </c>
      <c r="BI11" s="70"/>
      <c r="BJ11" s="70" t="str">
        <f>IF(OR('_SB Analysis'!$I$25&lt;&gt;"OK",COUNT('Section B Secondary Beam Design'!$G$16)&lt;&gt;1,'Section B Secondary Beam Design'!$G$16&lt;0),"",IF(BK11&lt;&gt;'Section B Secondary Beam Design'!$G$16,$BJ$2,'Section B Secondary Beam Design'!$G$16))</f>
        <v/>
      </c>
      <c r="BK11" s="70" t="str">
        <f>IF(OR('_SB Analysis'!$I$25&lt;&gt;"OK",COUNT('Section B Secondary Beam Design'!$G$16)&lt;&gt;1,'Section B Secondary Beam Design'!$G$16&lt;0),"",IF(BK10='Section B Secondary Beam Design'!$G$16,'Section B Secondary Beam Design'!$G$16,IF(BK10+$BL$2&gt;$AC$15,'Section B Secondary Beam Design'!$G$16,BK10+$BL$2)))</f>
        <v/>
      </c>
      <c r="BL11" s="70"/>
      <c r="BM11" s="70" t="str">
        <f>IF(OR('_SB Analysis'!$I$25&lt;&gt;"OK",COUNT('Section B Secondary Beam Design'!$G$16)&lt;&gt;1,'Section B Secondary Beam Design'!$G$16&lt;0),"",IF(BN11&lt;&gt;'Section B Secondary Beam Design'!$G$16,$BM$2,'Section B Secondary Beam Design'!$G$16))</f>
        <v/>
      </c>
      <c r="BN11" s="70" t="str">
        <f>IF(OR('_SB Analysis'!$I$25&lt;&gt;"OK",COUNT('Section B Secondary Beam Design'!$G$16)&lt;&gt;1,'Section B Secondary Beam Design'!$G$16&lt;0),"",IF(BN10='Section B Secondary Beam Design'!$G$16,'Section B Secondary Beam Design'!$G$16,IF(BN10+$BO$2&gt;$AC$15,'Section B Secondary Beam Design'!$G$16,BN10+$BO$2)))</f>
        <v/>
      </c>
      <c r="BO11" s="73"/>
      <c r="BP11" s="70"/>
      <c r="BQ11" s="70"/>
    </row>
    <row r="12" spans="15:69">
      <c r="P12" s="70"/>
      <c r="Q12" s="70"/>
      <c r="Y12" s="70"/>
      <c r="Z12" s="70"/>
      <c r="AA12" s="70"/>
      <c r="AB12" s="70"/>
      <c r="AC12" s="70"/>
      <c r="AD12" s="70"/>
      <c r="AE12" s="70"/>
      <c r="AF12" s="70"/>
      <c r="AG12" s="70"/>
      <c r="AH12" s="70"/>
      <c r="AI12" s="70"/>
      <c r="AJ12" s="70"/>
      <c r="AK12" s="74">
        <v>6</v>
      </c>
      <c r="AL12" s="70" t="str">
        <f>IF(OR('_SB Analysis'!$I$25&lt;&gt;"OK",COUNT('Section B Secondary Beam Design'!$G$16)&lt;&gt;1,'Section B Secondary Beam Design'!$G$16&lt;0),"",AL11)</f>
        <v/>
      </c>
      <c r="AM12" s="70" t="str">
        <f>IF(OR('_SB Analysis'!$I$25&lt;&gt;"OK",COUNT('Section B Secondary Beam Design'!$G$16)&lt;&gt;1,'Section B Secondary Beam Design'!$G$16&lt;0),"",IF($AL$3="",$AM$6,IF(AM11+$AL$3&gt;$AM$2,$AM$6,AM11+$AL$3)))</f>
        <v/>
      </c>
      <c r="AN12" s="73" t="str">
        <f>IF(OR('_SB Analysis'!$I$25&lt;&gt;"OK",COUNT('Section B Secondary Beam Design'!$G$16)&lt;&gt;1,'Section B Secondary Beam Design'!$G$16&lt;0),"",$AC$15)</f>
        <v/>
      </c>
      <c r="AO12" s="70"/>
      <c r="AP12" s="70"/>
      <c r="AQ12" s="70"/>
      <c r="AR12" s="269" t="str">
        <f>IF(OR('_SB Analysis'!$I$25&lt;&gt;"OK",COUNT('Section B Secondary Beam Design'!$G$16)&lt;&gt;1,'Section B Secondary Beam Design'!$G$16&lt;0),"",IF(AS12&lt;&gt;'Section B Secondary Beam Design'!$G$16,$AR$2,'Section B Secondary Beam Design'!$G$16))</f>
        <v/>
      </c>
      <c r="AS12" s="70" t="str">
        <f>IF(OR('_SB Analysis'!$I$25&lt;&gt;"OK",COUNT('Section B Secondary Beam Design'!$G$16)&lt;&gt;1,'Section B Secondary Beam Design'!$G$16&lt;0),"",IF(AS11='Section B Secondary Beam Design'!$G$16,'Section B Secondary Beam Design'!$G$16,IF(AS11+$AT$2&gt;$AC$15,'Section B Secondary Beam Design'!$G$16,AS11+$AT$2)))</f>
        <v/>
      </c>
      <c r="AT12" s="70"/>
      <c r="AU12" s="70" t="str">
        <f>IF(OR('_SB Analysis'!$I$25&lt;&gt;"OK",COUNT('Section B Secondary Beam Design'!$G$16)&lt;&gt;1,'Section B Secondary Beam Design'!$G$16&lt;0),"",IF(AV12&lt;&gt;'Section B Secondary Beam Design'!$G$16,$AU$2,'Section B Secondary Beam Design'!$G$16))</f>
        <v/>
      </c>
      <c r="AV12" s="70" t="str">
        <f>IF(OR('_SB Analysis'!$I$25&lt;&gt;"OK",COUNT('Section B Secondary Beam Design'!$G$16)&lt;&gt;1,'Section B Secondary Beam Design'!$G$16&lt;0),"",IF(AV11='Section B Secondary Beam Design'!$G$16,'Section B Secondary Beam Design'!$G$16,IF(AV11+$AW$2&gt;$AC$15,'Section B Secondary Beam Design'!$G$16,AV11+$AW$2)))</f>
        <v/>
      </c>
      <c r="AW12" s="70"/>
      <c r="AX12" s="70" t="str">
        <f>IF(OR('_SB Analysis'!$I$25&lt;&gt;"OK",COUNT('Section B Secondary Beam Design'!$G$16)&lt;&gt;1,'Section B Secondary Beam Design'!$G$16&lt;0),"",IF(AY12&lt;&gt;'Section B Secondary Beam Design'!$G$16,$AX$2,'Section B Secondary Beam Design'!$G$16))</f>
        <v/>
      </c>
      <c r="AY12" s="70" t="str">
        <f>IF(OR('_SB Analysis'!$I$25&lt;&gt;"OK",COUNT('Section B Secondary Beam Design'!$G$16)&lt;&gt;1,'Section B Secondary Beam Design'!$G$16&lt;0),"",IF(AY11='Section B Secondary Beam Design'!$G$16,'Section B Secondary Beam Design'!$G$16,IF(AY11+$AZ$2&gt;$AC$15,'Section B Secondary Beam Design'!$G$16,AY11+$AZ$2)))</f>
        <v/>
      </c>
      <c r="AZ12" s="70"/>
      <c r="BA12" s="70" t="str">
        <f>IF(OR('_SB Analysis'!$I$25&lt;&gt;"OK",COUNT('Section B Secondary Beam Design'!$G$16)&lt;&gt;1,'Section B Secondary Beam Design'!$G$16&lt;0),"",IF(BB12&lt;&gt;'Section B Secondary Beam Design'!$G$16,$BA$2,'Section B Secondary Beam Design'!$G$16))</f>
        <v/>
      </c>
      <c r="BB12" s="70" t="str">
        <f>IF(OR('_SB Analysis'!$I$25&lt;&gt;"OK",COUNT('Section B Secondary Beam Design'!$G$16)&lt;&gt;1,'Section B Secondary Beam Design'!$G$16&lt;0),"",IF(BB11='Section B Secondary Beam Design'!$G$16,'Section B Secondary Beam Design'!$G$16,IF(BB11+$BC$2&gt;$AC$15,'Section B Secondary Beam Design'!$G$16,BB11+$BC$2)))</f>
        <v/>
      </c>
      <c r="BC12" s="73"/>
      <c r="BD12" s="269" t="str">
        <f>IF(OR('_SB Analysis'!$I$25&lt;&gt;"OK",COUNT('Section B Secondary Beam Design'!$G$16)&lt;&gt;1,'Section B Secondary Beam Design'!$G$16&lt;0),"",IF(BE12&lt;&gt;'Section B Secondary Beam Design'!$G$16,$BD$2,'Section B Secondary Beam Design'!$G$16))</f>
        <v/>
      </c>
      <c r="BE12" s="70" t="str">
        <f>IF(OR('_SB Analysis'!$I$25&lt;&gt;"OK",COUNT('Section B Secondary Beam Design'!$G$16)&lt;&gt;1,'Section B Secondary Beam Design'!$G$16&lt;0),"",IF(BE11='Section B Secondary Beam Design'!$G$16,'Section B Secondary Beam Design'!$G$16,IF(BE11+$BF$2&gt;$AC$15,'Section B Secondary Beam Design'!$G$16,BE11+$BF$2)))</f>
        <v/>
      </c>
      <c r="BF12" s="70"/>
      <c r="BG12" s="70" t="str">
        <f>IF(OR('_SB Analysis'!$I$25&lt;&gt;"OK",COUNT('Section B Secondary Beam Design'!$G$16)&lt;&gt;1,'Section B Secondary Beam Design'!$G$16&lt;0),"",IF(BH12&lt;&gt;'Section B Secondary Beam Design'!$G$16,$BG$2,'Section B Secondary Beam Design'!$G$16))</f>
        <v/>
      </c>
      <c r="BH12" s="70" t="str">
        <f>IF(OR('_SB Analysis'!$I$25&lt;&gt;"OK",COUNT('Section B Secondary Beam Design'!$G$16)&lt;&gt;1,'Section B Secondary Beam Design'!$G$16&lt;0),"",IF(BH11='Section B Secondary Beam Design'!$G$16,'Section B Secondary Beam Design'!$G$16,IF(BH11+$BI$2&gt;$AC$15,'Section B Secondary Beam Design'!$G$16,BH11+$BI$2)))</f>
        <v/>
      </c>
      <c r="BI12" s="70"/>
      <c r="BJ12" s="70" t="str">
        <f>IF(OR('_SB Analysis'!$I$25&lt;&gt;"OK",COUNT('Section B Secondary Beam Design'!$G$16)&lt;&gt;1,'Section B Secondary Beam Design'!$G$16&lt;0),"",IF(BK12&lt;&gt;'Section B Secondary Beam Design'!$G$16,$BJ$2,'Section B Secondary Beam Design'!$G$16))</f>
        <v/>
      </c>
      <c r="BK12" s="70" t="str">
        <f>IF(OR('_SB Analysis'!$I$25&lt;&gt;"OK",COUNT('Section B Secondary Beam Design'!$G$16)&lt;&gt;1,'Section B Secondary Beam Design'!$G$16&lt;0),"",IF(BK11='Section B Secondary Beam Design'!$G$16,'Section B Secondary Beam Design'!$G$16,IF(BK11+$BL$2&gt;$AC$15,'Section B Secondary Beam Design'!$G$16,BK11+$BL$2)))</f>
        <v/>
      </c>
      <c r="BL12" s="70"/>
      <c r="BM12" s="70" t="str">
        <f>IF(OR('_SB Analysis'!$I$25&lt;&gt;"OK",COUNT('Section B Secondary Beam Design'!$G$16)&lt;&gt;1,'Section B Secondary Beam Design'!$G$16&lt;0),"",IF(BN12&lt;&gt;'Section B Secondary Beam Design'!$G$16,$BM$2,'Section B Secondary Beam Design'!$G$16))</f>
        <v/>
      </c>
      <c r="BN12" s="70" t="str">
        <f>IF(OR('_SB Analysis'!$I$25&lt;&gt;"OK",COUNT('Section B Secondary Beam Design'!$G$16)&lt;&gt;1,'Section B Secondary Beam Design'!$G$16&lt;0),"",IF(BN11='Section B Secondary Beam Design'!$G$16,'Section B Secondary Beam Design'!$G$16,IF(BN11+$BO$2&gt;$AC$15,'Section B Secondary Beam Design'!$G$16,BN11+$BO$2)))</f>
        <v/>
      </c>
      <c r="BO12" s="73"/>
      <c r="BP12" s="70"/>
      <c r="BQ12" s="70"/>
    </row>
    <row r="13" spans="15:69">
      <c r="P13" s="70">
        <v>10</v>
      </c>
      <c r="Q13" s="70" t="str">
        <f>IF(OR('_SB Analysis'!$I$25&lt;&gt;"OK",COUNT('Section B Secondary Beam Design'!$G$16)&lt;&gt;1,'Section B Secondary Beam Design'!$G$16&lt;0),"",MIN('Section B Secondary Beam Design'!$T$8,P13))</f>
        <v/>
      </c>
      <c r="Y13" s="70">
        <v>0</v>
      </c>
      <c r="Z13" s="70">
        <v>0</v>
      </c>
      <c r="AA13" s="70">
        <v>0</v>
      </c>
      <c r="AB13" s="70">
        <v>0</v>
      </c>
      <c r="AC13" s="70" t="str">
        <f>IF(OR('_SB Analysis'!$I$25&lt;&gt;"OK",COUNT('Section B Secondary Beam Design'!$G$16)&lt;&gt;1,'Section B Secondary Beam Design'!$G$16&lt;0),"",IF(Y13=0,'Section B Secondary Beam Design'!$G$16,Y13-'Section B Secondary Beam Design'!$G$16))</f>
        <v/>
      </c>
      <c r="AD13" s="70" t="str">
        <f>IF(OR('_SB Analysis'!$I$25&lt;&gt;"OK",COUNT('Section B Secondary Beam Design'!$G$16)&lt;&gt;1,'Section B Secondary Beam Design'!$G$16&lt;0),"",IF(Z13=0,'Section B Secondary Beam Design'!$G$16,Z13-'Section B Secondary Beam Design'!$G$16))</f>
        <v/>
      </c>
      <c r="AE13" s="70" t="str">
        <f>IF(OR('_SB Analysis'!$I$25&lt;&gt;"OK",COUNT('Section B Secondary Beam Design'!$G$16)&lt;&gt;1,'Section B Secondary Beam Design'!$G$16&lt;0),"",IF(AC13='Section B Secondary Beam Design'!$G$16,AC13-$AE$11,AC13+$AE$11))</f>
        <v/>
      </c>
      <c r="AF13" s="70" t="str">
        <f>IF(OR('_SB Analysis'!$I$25&lt;&gt;"OK",COUNT('Section B Secondary Beam Design'!$G$16)&lt;&gt;1,'Section B Secondary Beam Design'!$G$16&lt;0),"",IF(AD13='Section B Secondary Beam Design'!$G$16,AD13-$AE$11,AD13+$AE$10))</f>
        <v/>
      </c>
      <c r="AG13" s="70"/>
      <c r="AH13" s="70"/>
      <c r="AI13" s="70"/>
      <c r="AJ13" s="70"/>
      <c r="AK13" s="74">
        <v>7</v>
      </c>
      <c r="AL13" s="70" t="str">
        <f>IF(OR('_SB Analysis'!$I$25&lt;&gt;"OK",COUNT('Section B Secondary Beam Design'!$G$16)&lt;&gt;1,'Section B Secondary Beam Design'!$G$16&lt;0),"",AL12)</f>
        <v/>
      </c>
      <c r="AM13" s="70" t="str">
        <f>IF(OR('_SB Analysis'!$I$25&lt;&gt;"OK",COUNT('Section B Secondary Beam Design'!$G$16)&lt;&gt;1,'Section B Secondary Beam Design'!$G$16&lt;0),"",IF($AL$3="",$AM$6,IF(AM12+$AL$3&gt;$AM$2,$AM$6,AM12+$AL$3)))</f>
        <v/>
      </c>
      <c r="AN13" s="73" t="str">
        <f>IF(OR('_SB Analysis'!$I$25&lt;&gt;"OK",COUNT('Section B Secondary Beam Design'!$G$16)&lt;&gt;1,'Section B Secondary Beam Design'!$G$16&lt;0),"",$AC$15)</f>
        <v/>
      </c>
      <c r="AO13" s="70"/>
      <c r="AP13" s="70"/>
      <c r="AQ13" s="70"/>
      <c r="AR13" s="269" t="str">
        <f>IF(OR('_SB Analysis'!$I$25&lt;&gt;"OK",COUNT('Section B Secondary Beam Design'!$G$16)&lt;&gt;1,'Section B Secondary Beam Design'!$G$16&lt;0),"",IF(AS13&lt;&gt;'Section B Secondary Beam Design'!$G$16,$AR$2,'Section B Secondary Beam Design'!$G$16))</f>
        <v/>
      </c>
      <c r="AS13" s="70" t="str">
        <f>IF(OR('_SB Analysis'!$I$25&lt;&gt;"OK",COUNT('Section B Secondary Beam Design'!$G$16)&lt;&gt;1,'Section B Secondary Beam Design'!$G$16&lt;0),"",IF(AS12='Section B Secondary Beam Design'!$G$16,'Section B Secondary Beam Design'!$G$16,IF(AS12+$AT$2&gt;$AC$15,'Section B Secondary Beam Design'!$G$16,AS12+$AT$2)))</f>
        <v/>
      </c>
      <c r="AT13" s="70"/>
      <c r="AU13" s="70" t="str">
        <f>IF(OR('_SB Analysis'!$I$25&lt;&gt;"OK",COUNT('Section B Secondary Beam Design'!$G$16)&lt;&gt;1,'Section B Secondary Beam Design'!$G$16&lt;0),"",IF(AV13&lt;&gt;'Section B Secondary Beam Design'!$G$16,$AU$2,'Section B Secondary Beam Design'!$G$16))</f>
        <v/>
      </c>
      <c r="AV13" s="70" t="str">
        <f>IF(OR('_SB Analysis'!$I$25&lt;&gt;"OK",COUNT('Section B Secondary Beam Design'!$G$16)&lt;&gt;1,'Section B Secondary Beam Design'!$G$16&lt;0),"",IF(AV12='Section B Secondary Beam Design'!$G$16,'Section B Secondary Beam Design'!$G$16,IF(AV12+$AW$2&gt;$AC$15,'Section B Secondary Beam Design'!$G$16,AV12+$AW$2)))</f>
        <v/>
      </c>
      <c r="AW13" s="70"/>
      <c r="AX13" s="70" t="str">
        <f>IF(OR('_SB Analysis'!$I$25&lt;&gt;"OK",COUNT('Section B Secondary Beam Design'!$G$16)&lt;&gt;1,'Section B Secondary Beam Design'!$G$16&lt;0),"",IF(AY13&lt;&gt;'Section B Secondary Beam Design'!$G$16,$AX$2,'Section B Secondary Beam Design'!$G$16))</f>
        <v/>
      </c>
      <c r="AY13" s="70" t="str">
        <f>IF(OR('_SB Analysis'!$I$25&lt;&gt;"OK",COUNT('Section B Secondary Beam Design'!$G$16)&lt;&gt;1,'Section B Secondary Beam Design'!$G$16&lt;0),"",IF(AY12='Section B Secondary Beam Design'!$G$16,'Section B Secondary Beam Design'!$G$16,IF(AY12+$AZ$2&gt;$AC$15,'Section B Secondary Beam Design'!$G$16,AY12+$AZ$2)))</f>
        <v/>
      </c>
      <c r="AZ13" s="70"/>
      <c r="BA13" s="70" t="str">
        <f>IF(OR('_SB Analysis'!$I$25&lt;&gt;"OK",COUNT('Section B Secondary Beam Design'!$G$16)&lt;&gt;1,'Section B Secondary Beam Design'!$G$16&lt;0),"",IF(BB13&lt;&gt;'Section B Secondary Beam Design'!$G$16,$BA$2,'Section B Secondary Beam Design'!$G$16))</f>
        <v/>
      </c>
      <c r="BB13" s="70" t="str">
        <f>IF(OR('_SB Analysis'!$I$25&lt;&gt;"OK",COUNT('Section B Secondary Beam Design'!$G$16)&lt;&gt;1,'Section B Secondary Beam Design'!$G$16&lt;0),"",IF(BB12='Section B Secondary Beam Design'!$G$16,'Section B Secondary Beam Design'!$G$16,IF(BB12+$BC$2&gt;$AC$15,'Section B Secondary Beam Design'!$G$16,BB12+$BC$2)))</f>
        <v/>
      </c>
      <c r="BC13" s="73"/>
      <c r="BD13" s="269" t="str">
        <f>IF(OR('_SB Analysis'!$I$25&lt;&gt;"OK",COUNT('Section B Secondary Beam Design'!$G$16)&lt;&gt;1,'Section B Secondary Beam Design'!$G$16&lt;0),"",IF(BE13&lt;&gt;'Section B Secondary Beam Design'!$G$16,$BD$2,'Section B Secondary Beam Design'!$G$16))</f>
        <v/>
      </c>
      <c r="BE13" s="70" t="str">
        <f>IF(OR('_SB Analysis'!$I$25&lt;&gt;"OK",COUNT('Section B Secondary Beam Design'!$G$16)&lt;&gt;1,'Section B Secondary Beam Design'!$G$16&lt;0),"",IF(BE12='Section B Secondary Beam Design'!$G$16,'Section B Secondary Beam Design'!$G$16,IF(BE12+$BF$2&gt;$AC$15,'Section B Secondary Beam Design'!$G$16,BE12+$BF$2)))</f>
        <v/>
      </c>
      <c r="BF13" s="70"/>
      <c r="BG13" s="70" t="str">
        <f>IF(OR('_SB Analysis'!$I$25&lt;&gt;"OK",COUNT('Section B Secondary Beam Design'!$G$16)&lt;&gt;1,'Section B Secondary Beam Design'!$G$16&lt;0),"",IF(BH13&lt;&gt;'Section B Secondary Beam Design'!$G$16,$BG$2,'Section B Secondary Beam Design'!$G$16))</f>
        <v/>
      </c>
      <c r="BH13" s="70" t="str">
        <f>IF(OR('_SB Analysis'!$I$25&lt;&gt;"OK",COUNT('Section B Secondary Beam Design'!$G$16)&lt;&gt;1,'Section B Secondary Beam Design'!$G$16&lt;0),"",IF(BH12='Section B Secondary Beam Design'!$G$16,'Section B Secondary Beam Design'!$G$16,IF(BH12+$BI$2&gt;$AC$15,'Section B Secondary Beam Design'!$G$16,BH12+$BI$2)))</f>
        <v/>
      </c>
      <c r="BI13" s="70"/>
      <c r="BJ13" s="70" t="str">
        <f>IF(OR('_SB Analysis'!$I$25&lt;&gt;"OK",COUNT('Section B Secondary Beam Design'!$G$16)&lt;&gt;1,'Section B Secondary Beam Design'!$G$16&lt;0),"",IF(BK13&lt;&gt;'Section B Secondary Beam Design'!$G$16,$BJ$2,'Section B Secondary Beam Design'!$G$16))</f>
        <v/>
      </c>
      <c r="BK13" s="70" t="str">
        <f>IF(OR('_SB Analysis'!$I$25&lt;&gt;"OK",COUNT('Section B Secondary Beam Design'!$G$16)&lt;&gt;1,'Section B Secondary Beam Design'!$G$16&lt;0),"",IF(BK12='Section B Secondary Beam Design'!$G$16,'Section B Secondary Beam Design'!$G$16,IF(BK12+$BL$2&gt;$AC$15,'Section B Secondary Beam Design'!$G$16,BK12+$BL$2)))</f>
        <v/>
      </c>
      <c r="BL13" s="70"/>
      <c r="BM13" s="70" t="str">
        <f>IF(OR('_SB Analysis'!$I$25&lt;&gt;"OK",COUNT('Section B Secondary Beam Design'!$G$16)&lt;&gt;1,'Section B Secondary Beam Design'!$G$16&lt;0),"",IF(BN13&lt;&gt;'Section B Secondary Beam Design'!$G$16,$BM$2,'Section B Secondary Beam Design'!$G$16))</f>
        <v/>
      </c>
      <c r="BN13" s="70" t="str">
        <f>IF(OR('_SB Analysis'!$I$25&lt;&gt;"OK",COUNT('Section B Secondary Beam Design'!$G$16)&lt;&gt;1,'Section B Secondary Beam Design'!$G$16&lt;0),"",IF(BN12='Section B Secondary Beam Design'!$G$16,'Section B Secondary Beam Design'!$G$16,IF(BN12+$BO$2&gt;$AC$15,'Section B Secondary Beam Design'!$G$16,BN12+$BO$2)))</f>
        <v/>
      </c>
      <c r="BO13" s="73"/>
      <c r="BP13" s="70"/>
      <c r="BQ13" s="70"/>
    </row>
    <row r="14" spans="15:69">
      <c r="P14" s="70">
        <v>12</v>
      </c>
      <c r="Q14" s="70" t="str">
        <f>IF(OR('_SB Analysis'!$I$25&lt;&gt;"OK",COUNT('Section B Secondary Beam Design'!$G$16)&lt;&gt;1,'Section B Secondary Beam Design'!$G$16&lt;0),"",MIN('Section B Secondary Beam Design'!$T$8,P14))</f>
        <v/>
      </c>
      <c r="Y14" s="70">
        <v>0</v>
      </c>
      <c r="Z14" s="70" t="str">
        <f>IF(OR('_SB Analysis'!$I$25&lt;&gt;"OK",COUNT('Section B Secondary Beam Design'!$G$16)&lt;&gt;1,'Section B Secondary Beam Design'!$G$16&lt;0),"",'Section B Secondary Beam Design'!G15)</f>
        <v/>
      </c>
      <c r="AA14" s="70">
        <v>0</v>
      </c>
      <c r="AB14" s="70" t="str">
        <f>IF(OR('_SB Analysis'!$I$25&lt;&gt;"OK",COUNT('Section B Secondary Beam Design'!$G$16)&lt;&gt;1,'Section B Secondary Beam Design'!$G$16&lt;0),"",AA15)</f>
        <v/>
      </c>
      <c r="AC14" s="70" t="str">
        <f>IF(OR('_SB Analysis'!$I$25&lt;&gt;"OK",COUNT('Section B Secondary Beam Design'!$G$16)&lt;&gt;1,'Section B Secondary Beam Design'!$G$16&lt;0),"",IF(Y14=0,'Section B Secondary Beam Design'!$G$16,Y14-'Section B Secondary Beam Design'!$G$16))</f>
        <v/>
      </c>
      <c r="AD14" s="70" t="str">
        <f>IF(OR('_SB Analysis'!$I$25&lt;&gt;"OK",COUNT('Section B Secondary Beam Design'!$G$16)&lt;&gt;1,'Section B Secondary Beam Design'!$G$16&lt;0),"",IF(Z14=0,'Section B Secondary Beam Design'!$G$16,Z14-'Section B Secondary Beam Design'!$G$16))</f>
        <v/>
      </c>
      <c r="AE14" s="70" t="str">
        <f>IF(OR('_SB Analysis'!$I$25&lt;&gt;"OK",COUNT('Section B Secondary Beam Design'!$G$16)&lt;&gt;1,'Section B Secondary Beam Design'!$G$16&lt;0),"",IF(AC14='Section B Secondary Beam Design'!$G$16,AC14-$AE$11,AC14+$AE$11))</f>
        <v/>
      </c>
      <c r="AF14" s="70" t="str">
        <f>IF(OR('_SB Analysis'!$I$25&lt;&gt;"OK",COUNT('Section B Secondary Beam Design'!$G$16)&lt;&gt;1,'Section B Secondary Beam Design'!$G$16&lt;0),"",IF(AD14='Section B Secondary Beam Design'!$G$16,AD14-$AE$11,AD14+$AE$10))</f>
        <v/>
      </c>
      <c r="AG14" s="70"/>
      <c r="AH14" s="70"/>
      <c r="AI14" s="70"/>
      <c r="AJ14" s="70"/>
      <c r="AK14" s="74">
        <v>8</v>
      </c>
      <c r="AL14" s="70" t="str">
        <f>IF(OR('_SB Analysis'!$I$25&lt;&gt;"OK",COUNT('Section B Secondary Beam Design'!$G$16)&lt;&gt;1,'Section B Secondary Beam Design'!$G$16&lt;0),"",AL13)</f>
        <v/>
      </c>
      <c r="AM14" s="70" t="str">
        <f>IF(OR('_SB Analysis'!$I$25&lt;&gt;"OK",COUNT('Section B Secondary Beam Design'!$G$16)&lt;&gt;1,'Section B Secondary Beam Design'!$G$16&lt;0),"",IF($AL$3="",$AM$6,IF(AM13+$AL$3&gt;$AM$2,$AM$6,AM13+$AL$3)))</f>
        <v/>
      </c>
      <c r="AN14" s="73" t="str">
        <f>IF(OR('_SB Analysis'!$I$25&lt;&gt;"OK",COUNT('Section B Secondary Beam Design'!$G$16)&lt;&gt;1,'Section B Secondary Beam Design'!$G$16&lt;0),"",$AC$15)</f>
        <v/>
      </c>
      <c r="AO14" s="70"/>
      <c r="AP14" s="70"/>
      <c r="AQ14" s="70"/>
      <c r="AR14" s="269" t="str">
        <f>IF(OR('_SB Analysis'!$I$25&lt;&gt;"OK",COUNT('Section B Secondary Beam Design'!$G$16)&lt;&gt;1,'Section B Secondary Beam Design'!$G$16&lt;0),"",IF(AS14&lt;&gt;'Section B Secondary Beam Design'!$G$16,$AR$2,'Section B Secondary Beam Design'!$G$16))</f>
        <v/>
      </c>
      <c r="AS14" s="70" t="str">
        <f>IF(OR('_SB Analysis'!$I$25&lt;&gt;"OK",COUNT('Section B Secondary Beam Design'!$G$16)&lt;&gt;1,'Section B Secondary Beam Design'!$G$16&lt;0),"",IF(AS13='Section B Secondary Beam Design'!$G$16,'Section B Secondary Beam Design'!$G$16,IF(AS13+$AT$2&gt;$AC$15,'Section B Secondary Beam Design'!$G$16,AS13+$AT$2)))</f>
        <v/>
      </c>
      <c r="AT14" s="70"/>
      <c r="AU14" s="70" t="str">
        <f>IF(OR('_SB Analysis'!$I$25&lt;&gt;"OK",COUNT('Section B Secondary Beam Design'!$G$16)&lt;&gt;1,'Section B Secondary Beam Design'!$G$16&lt;0),"",IF(AV14&lt;&gt;'Section B Secondary Beam Design'!$G$16,$AU$2,'Section B Secondary Beam Design'!$G$16))</f>
        <v/>
      </c>
      <c r="AV14" s="70" t="str">
        <f>IF(OR('_SB Analysis'!$I$25&lt;&gt;"OK",COUNT('Section B Secondary Beam Design'!$G$16)&lt;&gt;1,'Section B Secondary Beam Design'!$G$16&lt;0),"",IF(AV13='Section B Secondary Beam Design'!$G$16,'Section B Secondary Beam Design'!$G$16,IF(AV13+$AW$2&gt;$AC$15,'Section B Secondary Beam Design'!$G$16,AV13+$AW$2)))</f>
        <v/>
      </c>
      <c r="AW14" s="70"/>
      <c r="AX14" s="70" t="str">
        <f>IF(OR('_SB Analysis'!$I$25&lt;&gt;"OK",COUNT('Section B Secondary Beam Design'!$G$16)&lt;&gt;1,'Section B Secondary Beam Design'!$G$16&lt;0),"",IF(AY14&lt;&gt;'Section B Secondary Beam Design'!$G$16,$AX$2,'Section B Secondary Beam Design'!$G$16))</f>
        <v/>
      </c>
      <c r="AY14" s="70" t="str">
        <f>IF(OR('_SB Analysis'!$I$25&lt;&gt;"OK",COUNT('Section B Secondary Beam Design'!$G$16)&lt;&gt;1,'Section B Secondary Beam Design'!$G$16&lt;0),"",IF(AY13='Section B Secondary Beam Design'!$G$16,'Section B Secondary Beam Design'!$G$16,IF(AY13+$AZ$2&gt;$AC$15,'Section B Secondary Beam Design'!$G$16,AY13+$AZ$2)))</f>
        <v/>
      </c>
      <c r="AZ14" s="70"/>
      <c r="BA14" s="70" t="str">
        <f>IF(OR('_SB Analysis'!$I$25&lt;&gt;"OK",COUNT('Section B Secondary Beam Design'!$G$16)&lt;&gt;1,'Section B Secondary Beam Design'!$G$16&lt;0),"",IF(BB14&lt;&gt;'Section B Secondary Beam Design'!$G$16,$BA$2,'Section B Secondary Beam Design'!$G$16))</f>
        <v/>
      </c>
      <c r="BB14" s="70" t="str">
        <f>IF(OR('_SB Analysis'!$I$25&lt;&gt;"OK",COUNT('Section B Secondary Beam Design'!$G$16)&lt;&gt;1,'Section B Secondary Beam Design'!$G$16&lt;0),"",IF(BB13='Section B Secondary Beam Design'!$G$16,'Section B Secondary Beam Design'!$G$16,IF(BB13+$BC$2&gt;$AC$15,'Section B Secondary Beam Design'!$G$16,BB13+$BC$2)))</f>
        <v/>
      </c>
      <c r="BC14" s="73"/>
      <c r="BD14" s="269" t="str">
        <f>IF(OR('_SB Analysis'!$I$25&lt;&gt;"OK",COUNT('Section B Secondary Beam Design'!$G$16)&lt;&gt;1,'Section B Secondary Beam Design'!$G$16&lt;0),"",IF(BE14&lt;&gt;'Section B Secondary Beam Design'!$G$16,$BD$2,'Section B Secondary Beam Design'!$G$16))</f>
        <v/>
      </c>
      <c r="BE14" s="70" t="str">
        <f>IF(OR('_SB Analysis'!$I$25&lt;&gt;"OK",COUNT('Section B Secondary Beam Design'!$G$16)&lt;&gt;1,'Section B Secondary Beam Design'!$G$16&lt;0),"",IF(BE13='Section B Secondary Beam Design'!$G$16,'Section B Secondary Beam Design'!$G$16,IF(BE13+$BF$2&gt;$AC$15,'Section B Secondary Beam Design'!$G$16,BE13+$BF$2)))</f>
        <v/>
      </c>
      <c r="BF14" s="70"/>
      <c r="BG14" s="70" t="str">
        <f>IF(OR('_SB Analysis'!$I$25&lt;&gt;"OK",COUNT('Section B Secondary Beam Design'!$G$16)&lt;&gt;1,'Section B Secondary Beam Design'!$G$16&lt;0),"",IF(BH14&lt;&gt;'Section B Secondary Beam Design'!$G$16,$BG$2,'Section B Secondary Beam Design'!$G$16))</f>
        <v/>
      </c>
      <c r="BH14" s="70" t="str">
        <f>IF(OR('_SB Analysis'!$I$25&lt;&gt;"OK",COUNT('Section B Secondary Beam Design'!$G$16)&lt;&gt;1,'Section B Secondary Beam Design'!$G$16&lt;0),"",IF(BH13='Section B Secondary Beam Design'!$G$16,'Section B Secondary Beam Design'!$G$16,IF(BH13+$BI$2&gt;$AC$15,'Section B Secondary Beam Design'!$G$16,BH13+$BI$2)))</f>
        <v/>
      </c>
      <c r="BI14" s="70"/>
      <c r="BJ14" s="70" t="str">
        <f>IF(OR('_SB Analysis'!$I$25&lt;&gt;"OK",COUNT('Section B Secondary Beam Design'!$G$16)&lt;&gt;1,'Section B Secondary Beam Design'!$G$16&lt;0),"",IF(BK14&lt;&gt;'Section B Secondary Beam Design'!$G$16,$BJ$2,'Section B Secondary Beam Design'!$G$16))</f>
        <v/>
      </c>
      <c r="BK14" s="70" t="str">
        <f>IF(OR('_SB Analysis'!$I$25&lt;&gt;"OK",COUNT('Section B Secondary Beam Design'!$G$16)&lt;&gt;1,'Section B Secondary Beam Design'!$G$16&lt;0),"",IF(BK13='Section B Secondary Beam Design'!$G$16,'Section B Secondary Beam Design'!$G$16,IF(BK13+$BL$2&gt;$AC$15,'Section B Secondary Beam Design'!$G$16,BK13+$BL$2)))</f>
        <v/>
      </c>
      <c r="BL14" s="70"/>
      <c r="BM14" s="70" t="str">
        <f>IF(OR('_SB Analysis'!$I$25&lt;&gt;"OK",COUNT('Section B Secondary Beam Design'!$G$16)&lt;&gt;1,'Section B Secondary Beam Design'!$G$16&lt;0),"",IF(BN14&lt;&gt;'Section B Secondary Beam Design'!$G$16,$BM$2,'Section B Secondary Beam Design'!$G$16))</f>
        <v/>
      </c>
      <c r="BN14" s="70" t="str">
        <f>IF(OR('_SB Analysis'!$I$25&lt;&gt;"OK",COUNT('Section B Secondary Beam Design'!$G$16)&lt;&gt;1,'Section B Secondary Beam Design'!$G$16&lt;0),"",IF(BN13='Section B Secondary Beam Design'!$G$16,'Section B Secondary Beam Design'!$G$16,IF(BN13+$BO$2&gt;$AC$15,'Section B Secondary Beam Design'!$G$16,BN13+$BO$2)))</f>
        <v/>
      </c>
      <c r="BO14" s="73"/>
      <c r="BP14" s="70"/>
      <c r="BQ14" s="70"/>
    </row>
    <row r="15" spans="15:69" ht="14.4" thickBot="1">
      <c r="P15" s="70">
        <v>16</v>
      </c>
      <c r="Q15" s="70" t="str">
        <f>IF(OR('_SB Analysis'!$I$25&lt;&gt;"OK",COUNT('Section B Secondary Beam Design'!$G$16)&lt;&gt;1,'Section B Secondary Beam Design'!$G$16&lt;0),"",MIN('Section B Secondary Beam Design'!$T$8,P15))</f>
        <v/>
      </c>
      <c r="Y15" s="70" t="str">
        <f>IF(OR('_SB Analysis'!$I$25&lt;&gt;"OK",COUNT('Section B Secondary Beam Design'!$G$16)&lt;&gt;1,'Section B Secondary Beam Design'!$G$16&lt;0),"",'Section B Secondary Beam Design'!G14)</f>
        <v/>
      </c>
      <c r="Z15" s="70" t="str">
        <f>IF(OR('_SB Analysis'!$I$25&lt;&gt;"OK",COUNT('Section B Secondary Beam Design'!$G$16)&lt;&gt;1,'Section B Secondary Beam Design'!$G$16&lt;0),"",'Section B Secondary Beam Design'!G15)</f>
        <v/>
      </c>
      <c r="AA15" s="70" t="str">
        <f>IF(OR('_SB Analysis'!$I$25&lt;&gt;"OK",COUNT('Section B Secondary Beam Design'!$G$16)&lt;&gt;1,'Section B Secondary Beam Design'!$G$16&lt;0),"",MAX('Section B Secondary Beam Design'!G14:G15))</f>
        <v/>
      </c>
      <c r="AB15" s="70" t="str">
        <f>IF(OR('_SB Analysis'!$I$25&lt;&gt;"OK",COUNT('Section B Secondary Beam Design'!$G$16)&lt;&gt;1,'Section B Secondary Beam Design'!$G$16&lt;0),"",AA16)</f>
        <v/>
      </c>
      <c r="AC15" s="70" t="str">
        <f>IF(OR('_SB Analysis'!$I$25&lt;&gt;"OK",COUNT('Section B Secondary Beam Design'!$G$16)&lt;&gt;1,'Section B Secondary Beam Design'!$G$16&lt;0),"",IF(Y15=0,'Section B Secondary Beam Design'!$G$16,Y15-'Section B Secondary Beam Design'!$G$16))</f>
        <v/>
      </c>
      <c r="AD15" s="70" t="str">
        <f>IF(OR('_SB Analysis'!$I$25&lt;&gt;"OK",COUNT('Section B Secondary Beam Design'!$G$16)&lt;&gt;1,'Section B Secondary Beam Design'!$G$16&lt;0),"",IF(Z15=0,'Section B Secondary Beam Design'!$G$16,Z15-'Section B Secondary Beam Design'!$G$16))</f>
        <v/>
      </c>
      <c r="AE15" s="70" t="str">
        <f>IF(OR('_SB Analysis'!$I$25&lt;&gt;"OK",COUNT('Section B Secondary Beam Design'!$G$16)&lt;&gt;1,'Section B Secondary Beam Design'!$G$16&lt;0),"",IF(AC15='Section B Secondary Beam Design'!$G$16,AC15-$AE$11,AC15+$AE$11))</f>
        <v/>
      </c>
      <c r="AF15" s="70" t="str">
        <f>IF(OR('_SB Analysis'!$I$25&lt;&gt;"OK",COUNT('Section B Secondary Beam Design'!$G$16)&lt;&gt;1,'Section B Secondary Beam Design'!$G$16&lt;0),"",IF(AD15='Section B Secondary Beam Design'!$G$16,AD15-$AE$11,AD15+$AE$10))</f>
        <v/>
      </c>
      <c r="AG15" s="70"/>
      <c r="AH15" s="70"/>
      <c r="AI15" s="70"/>
      <c r="AJ15" s="70"/>
      <c r="AK15" s="74">
        <v>9</v>
      </c>
      <c r="AL15" s="70" t="str">
        <f>IF(OR('_SB Analysis'!$I$25&lt;&gt;"OK",COUNT('Section B Secondary Beam Design'!$G$16)&lt;&gt;1,'Section B Secondary Beam Design'!$G$16&lt;0),"",AL14)</f>
        <v/>
      </c>
      <c r="AM15" s="70" t="str">
        <f>IF(OR('_SB Analysis'!$I$25&lt;&gt;"OK",COUNT('Section B Secondary Beam Design'!$G$16)&lt;&gt;1,'Section B Secondary Beam Design'!$G$16&lt;0),"",IF($AL$3="",$AM$6,IF(AM14+$AL$3&gt;$AM$2,$AM$6,AM14+$AL$3)))</f>
        <v/>
      </c>
      <c r="AN15" s="73" t="str">
        <f>IF(OR('_SB Analysis'!$I$25&lt;&gt;"OK",COUNT('Section B Secondary Beam Design'!$G$16)&lt;&gt;1,'Section B Secondary Beam Design'!$G$16&lt;0),"",$AC$15)</f>
        <v/>
      </c>
      <c r="AO15" s="70"/>
      <c r="AP15" s="70"/>
      <c r="AQ15" s="70"/>
      <c r="AR15" s="275" t="str">
        <f>IF(OR('_SB Analysis'!$I$25&lt;&gt;"OK",COUNT('Section B Secondary Beam Design'!$G$16)&lt;&gt;1,'Section B Secondary Beam Design'!$G$16&lt;0),"",IF(AS15&lt;&gt;'Section B Secondary Beam Design'!$G$16,$AR$2,'Section B Secondary Beam Design'!$G$16))</f>
        <v/>
      </c>
      <c r="AS15" s="75" t="str">
        <f>IF(OR('_SB Analysis'!$I$25&lt;&gt;"OK",COUNT('Section B Secondary Beam Design'!$G$16)&lt;&gt;1,'Section B Secondary Beam Design'!$G$16&lt;0),"",IF(AS14='Section B Secondary Beam Design'!$G$16,'Section B Secondary Beam Design'!$G$16,IF(AS14+$AT$2&gt;$AC$15,'Section B Secondary Beam Design'!$G$16,AS14+$AT$2)))</f>
        <v/>
      </c>
      <c r="AT15" s="75"/>
      <c r="AU15" s="75" t="str">
        <f>IF(OR('_SB Analysis'!$I$25&lt;&gt;"OK",COUNT('Section B Secondary Beam Design'!$G$16)&lt;&gt;1,'Section B Secondary Beam Design'!$G$16&lt;0),"",IF(AV15&lt;&gt;'Section B Secondary Beam Design'!$G$16,$AU$2,'Section B Secondary Beam Design'!$G$16))</f>
        <v/>
      </c>
      <c r="AV15" s="75" t="str">
        <f>IF(OR('_SB Analysis'!$I$25&lt;&gt;"OK",COUNT('Section B Secondary Beam Design'!$G$16)&lt;&gt;1,'Section B Secondary Beam Design'!$G$16&lt;0),"",IF(AV14='Section B Secondary Beam Design'!$G$16,'Section B Secondary Beam Design'!$G$16,IF(AV14+$AW$2&gt;$AC$15,'Section B Secondary Beam Design'!$G$16,AV14+$AW$2)))</f>
        <v/>
      </c>
      <c r="AW15" s="75"/>
      <c r="AX15" s="75" t="str">
        <f>IF(OR('_SB Analysis'!$I$25&lt;&gt;"OK",COUNT('Section B Secondary Beam Design'!$G$16)&lt;&gt;1,'Section B Secondary Beam Design'!$G$16&lt;0),"",IF(AY15&lt;&gt;'Section B Secondary Beam Design'!$G$16,$AU$2,'Section B Secondary Beam Design'!$G$16))</f>
        <v/>
      </c>
      <c r="AY15" s="75" t="str">
        <f>IF(OR('_SB Analysis'!$I$25&lt;&gt;"OK",COUNT('Section B Secondary Beam Design'!$G$16)&lt;&gt;1,'Section B Secondary Beam Design'!$G$16&lt;0),"",IF(AY14='Section B Secondary Beam Design'!$G$16,'Section B Secondary Beam Design'!$G$16,IF(AY14+$AZ$2&gt;$AC$15,'Section B Secondary Beam Design'!$G$16,AY14+$AZ$2)))</f>
        <v/>
      </c>
      <c r="AZ15" s="75"/>
      <c r="BA15" s="75" t="str">
        <f>IF(OR('_SB Analysis'!$I$25&lt;&gt;"OK",COUNT('Section B Secondary Beam Design'!$G$16)&lt;&gt;1,'Section B Secondary Beam Design'!$G$16&lt;0),"",IF(BB15&lt;&gt;'Section B Secondary Beam Design'!$G$16,$BA$2,'Section B Secondary Beam Design'!$G$16))</f>
        <v/>
      </c>
      <c r="BB15" s="75" t="str">
        <f>IF(OR('_SB Analysis'!$I$25&lt;&gt;"OK",COUNT('Section B Secondary Beam Design'!$G$16)&lt;&gt;1,'Section B Secondary Beam Design'!$G$16&lt;0),"",IF(BB14='Section B Secondary Beam Design'!$G$16,'Section B Secondary Beam Design'!$G$16,IF(BB14+$BC$2&gt;$AC$15,'Section B Secondary Beam Design'!$G$16,BB14+$BC$2)))</f>
        <v/>
      </c>
      <c r="BC15" s="78"/>
      <c r="BD15" s="275" t="str">
        <f>IF(OR('_SB Analysis'!$I$25&lt;&gt;"OK",COUNT('Section B Secondary Beam Design'!$G$16)&lt;&gt;1,'Section B Secondary Beam Design'!$G$16&lt;0),"",IF(BE15&lt;&gt;'Section B Secondary Beam Design'!$G$16,$BD$2,'Section B Secondary Beam Design'!$G$16))</f>
        <v/>
      </c>
      <c r="BE15" s="75" t="str">
        <f>IF(OR('_SB Analysis'!$I$25&lt;&gt;"OK",COUNT('Section B Secondary Beam Design'!$G$16)&lt;&gt;1,'Section B Secondary Beam Design'!$G$16&lt;0),"",IF(BE14='Section B Secondary Beam Design'!$G$16,'Section B Secondary Beam Design'!$G$16,IF(BE14+$BF$2&gt;$AC$15,'Section B Secondary Beam Design'!$G$16,BE14+$BF$2)))</f>
        <v/>
      </c>
      <c r="BF15" s="75"/>
      <c r="BG15" s="75" t="str">
        <f>IF(OR('_SB Analysis'!$I$25&lt;&gt;"OK",COUNT('Section B Secondary Beam Design'!$G$16)&lt;&gt;1,'Section B Secondary Beam Design'!$G$16&lt;0),"",IF(BH15&lt;&gt;'Section B Secondary Beam Design'!$G$16,$BG$2,'Section B Secondary Beam Design'!$G$16))</f>
        <v/>
      </c>
      <c r="BH15" s="75" t="str">
        <f>IF(OR('_SB Analysis'!$I$25&lt;&gt;"OK",COUNT('Section B Secondary Beam Design'!$G$16)&lt;&gt;1,'Section B Secondary Beam Design'!$G$16&lt;0),"",IF(BH14='Section B Secondary Beam Design'!$G$16,'Section B Secondary Beam Design'!$G$16,IF(BH14+$BI$2&gt;$AC$15,'Section B Secondary Beam Design'!$G$16,BH14+$BI$2)))</f>
        <v/>
      </c>
      <c r="BI15" s="75"/>
      <c r="BJ15" s="75" t="str">
        <f>IF(OR('_SB Analysis'!$I$25&lt;&gt;"OK",COUNT('Section B Secondary Beam Design'!$G$16)&lt;&gt;1,'Section B Secondary Beam Design'!$G$16&lt;0),"",IF(BK15&lt;&gt;'Section B Secondary Beam Design'!$G$16,$BJ$2,'Section B Secondary Beam Design'!$G$16))</f>
        <v/>
      </c>
      <c r="BK15" s="75" t="str">
        <f>IF(OR('_SB Analysis'!$I$25&lt;&gt;"OK",COUNT('Section B Secondary Beam Design'!$G$16)&lt;&gt;1,'Section B Secondary Beam Design'!$G$16&lt;0),"",IF(BK14='Section B Secondary Beam Design'!$G$16,'Section B Secondary Beam Design'!$G$16,IF(BK14+$BL$2&gt;$AC$15,'Section B Secondary Beam Design'!$G$16,BK14+$BL$2)))</f>
        <v/>
      </c>
      <c r="BL15" s="75"/>
      <c r="BM15" s="75" t="str">
        <f>IF(OR('_SB Analysis'!$I$25&lt;&gt;"OK",COUNT('Section B Secondary Beam Design'!$G$16)&lt;&gt;1,'Section B Secondary Beam Design'!$G$16&lt;0),"",IF(BN15&lt;&gt;'Section B Secondary Beam Design'!$G$16,$BM$2,'Section B Secondary Beam Design'!$G$16))</f>
        <v/>
      </c>
      <c r="BN15" s="75" t="str">
        <f>IF(OR('_SB Analysis'!$I$25&lt;&gt;"OK",COUNT('Section B Secondary Beam Design'!$G$16)&lt;&gt;1,'Section B Secondary Beam Design'!$G$16&lt;0),"",IF(BN14='Section B Secondary Beam Design'!$G$16,'Section B Secondary Beam Design'!$G$16,IF(BN14+$BO$2&gt;$AC$15,'Section B Secondary Beam Design'!$G$16,BN14+$BO$2)))</f>
        <v/>
      </c>
      <c r="BO15" s="78"/>
      <c r="BP15" s="70"/>
      <c r="BQ15" s="70"/>
    </row>
    <row r="16" spans="15:69" ht="14.4" thickBot="1">
      <c r="P16" s="70">
        <v>20</v>
      </c>
      <c r="Q16" s="70" t="str">
        <f>IF(OR('_SB Analysis'!$I$25&lt;&gt;"OK",COUNT('Section B Secondary Beam Design'!$G$16)&lt;&gt;1,'Section B Secondary Beam Design'!$G$16&lt;0),"",MIN('Section B Secondary Beam Design'!$T$8,P16))</f>
        <v/>
      </c>
      <c r="Y16" s="70" t="str">
        <f>IF(OR('_SB Analysis'!$I$25&lt;&gt;"OK",COUNT('Section B Secondary Beam Design'!$G$16)&lt;&gt;1,'Section B Secondary Beam Design'!$G$16&lt;0),"",'Section B Secondary Beam Design'!G14)</f>
        <v/>
      </c>
      <c r="Z16" s="70">
        <v>0</v>
      </c>
      <c r="AA16" s="70" t="str">
        <f>IF(OR('_SB Analysis'!$I$25&lt;&gt;"OK",COUNT('Section B Secondary Beam Design'!$G$16)&lt;&gt;1,'Section B Secondary Beam Design'!$G$16&lt;0),"",AA15)</f>
        <v/>
      </c>
      <c r="AB16" s="70">
        <v>0</v>
      </c>
      <c r="AC16" s="70" t="str">
        <f>IF(OR('_SB Analysis'!$I$25&lt;&gt;"OK",COUNT('Section B Secondary Beam Design'!$G$16)&lt;&gt;1,'Section B Secondary Beam Design'!$G$16&lt;0),"",IF(Y16=0,'Section B Secondary Beam Design'!$G$16,Y16-'Section B Secondary Beam Design'!$G$16))</f>
        <v/>
      </c>
      <c r="AD16" s="70" t="str">
        <f>IF(OR('_SB Analysis'!$I$25&lt;&gt;"OK",COUNT('Section B Secondary Beam Design'!$G$16)&lt;&gt;1,'Section B Secondary Beam Design'!$G$16&lt;0),"",IF(Z16=0,'Section B Secondary Beam Design'!$G$16,Z16-'Section B Secondary Beam Design'!$G$16))</f>
        <v/>
      </c>
      <c r="AE16" s="70" t="str">
        <f>IF(OR('_SB Analysis'!$I$25&lt;&gt;"OK",COUNT('Section B Secondary Beam Design'!$G$16)&lt;&gt;1,'Section B Secondary Beam Design'!$G$16&lt;0),"",IF(AC16='Section B Secondary Beam Design'!$G$16,AC16-$AE$11,AC16+$AE$11))</f>
        <v/>
      </c>
      <c r="AF16" s="70" t="str">
        <f>IF(OR('_SB Analysis'!$I$25&lt;&gt;"OK",COUNT('Section B Secondary Beam Design'!$G$16)&lt;&gt;1,'Section B Secondary Beam Design'!$G$16&lt;0),"",IF(AD16='Section B Secondary Beam Design'!$G$16,AD16-$AE$11,AD16+$AE$10))</f>
        <v/>
      </c>
      <c r="AG16" s="70"/>
      <c r="AH16" s="70"/>
      <c r="AI16" s="70"/>
      <c r="AJ16" s="70"/>
      <c r="AK16" s="79">
        <v>10</v>
      </c>
      <c r="AL16" s="75" t="str">
        <f>IF(OR('_SB Analysis'!$I$25&lt;&gt;"OK",COUNT('Section B Secondary Beam Design'!$G$16)&lt;&gt;1,'Section B Secondary Beam Design'!$G$16&lt;0),"",AL15)</f>
        <v/>
      </c>
      <c r="AM16" s="75" t="str">
        <f>IF(OR('_SB Analysis'!$I$25&lt;&gt;"OK",COUNT('Section B Secondary Beam Design'!$G$16)&lt;&gt;1,'Section B Secondary Beam Design'!$G$16&lt;0),"",IF($AL$3="",$AM$6,IF(AM15+$AL$3&gt;$AM$2,$AM$6,AM15+$AL$3)))</f>
        <v/>
      </c>
      <c r="AN16" s="78" t="str">
        <f>IF(OR('_SB Analysis'!$I$25&lt;&gt;"OK",COUNT('Section B Secondary Beam Design'!$G$16)&lt;&gt;1,'Section B Secondary Beam Design'!$G$16&lt;0),"",$AC$15)</f>
        <v/>
      </c>
      <c r="AO16" s="70"/>
      <c r="AP16" s="70"/>
      <c r="AQ16" s="70"/>
      <c r="AR16" s="70" t="str">
        <f>IF(OR('_SB Analysis'!$I$25&lt;&gt;"OK",COUNT('Section B Secondary Beam Design'!$G$16)&lt;&gt;1,'Section B Secondary Beam Design'!$G$16&lt;0),"",IF(AR2='Section B Secondary Beam Design'!$G$16,9999999999999,AR2))</f>
        <v/>
      </c>
      <c r="AS16" s="70"/>
      <c r="AT16" s="70"/>
      <c r="AU16" s="70" t="str">
        <f>IF(OR('_SB Analysis'!$I$25&lt;&gt;"OK",COUNT('Section B Secondary Beam Design'!$G$16)&lt;&gt;1,'Section B Secondary Beam Design'!$G$16&lt;0),"",IF(AU2='Section B Secondary Beam Design'!$G$16,9999999999999,AU2))</f>
        <v/>
      </c>
      <c r="AV16" s="70"/>
      <c r="AW16" s="70"/>
      <c r="AX16" s="70" t="str">
        <f>IF(OR('_SB Analysis'!$I$25&lt;&gt;"OK",COUNT('Section B Secondary Beam Design'!$G$16)&lt;&gt;1,'Section B Secondary Beam Design'!$G$16&lt;0),"",IF(AX2='Section B Secondary Beam Design'!$G$16,9999999999999,AX2))</f>
        <v/>
      </c>
      <c r="AY16" s="70"/>
      <c r="AZ16" s="70"/>
      <c r="BA16" s="70" t="str">
        <f>IF(OR('_SB Analysis'!$I$25&lt;&gt;"OK",COUNT('Section B Secondary Beam Design'!$G$16)&lt;&gt;1,'Section B Secondary Beam Design'!$G$16&lt;0),"",IF(BA2='Section B Secondary Beam Design'!$G$16,9999999999999,BA2))</f>
        <v/>
      </c>
      <c r="BB16" s="70"/>
      <c r="BC16" s="70"/>
      <c r="BD16" s="70" t="str">
        <f>IF(OR('_SB Analysis'!$I$25&lt;&gt;"OK",COUNT('Section B Secondary Beam Design'!$G$16)&lt;&gt;1,'Section B Secondary Beam Design'!$G$16&lt;0),"",BD2)</f>
        <v/>
      </c>
      <c r="BE16" s="70"/>
      <c r="BF16" s="70"/>
      <c r="BG16" s="70" t="str">
        <f>IF(OR('_SB Analysis'!$I$25&lt;&gt;"OK",COUNT('Section B Secondary Beam Design'!$G$16)&lt;&gt;1,'Section B Secondary Beam Design'!$G$16&lt;0),"",BG2)</f>
        <v/>
      </c>
      <c r="BH16" s="70"/>
      <c r="BI16" s="70"/>
      <c r="BJ16" s="70" t="str">
        <f>IF(OR('_SB Analysis'!$I$25&lt;&gt;"OK",COUNT('Section B Secondary Beam Design'!$G$16)&lt;&gt;1,'Section B Secondary Beam Design'!$G$16&lt;0),"",BJ2)</f>
        <v/>
      </c>
      <c r="BK16" s="70"/>
      <c r="BL16" s="70"/>
      <c r="BM16" s="70" t="str">
        <f>IF(OR('_SB Analysis'!$I$25&lt;&gt;"OK",COUNT('Section B Secondary Beam Design'!$G$16)&lt;&gt;1,'Section B Secondary Beam Design'!$G$16&lt;0),"",BM2)</f>
        <v/>
      </c>
      <c r="BN16" s="70"/>
      <c r="BO16" s="70"/>
      <c r="BP16" s="70"/>
      <c r="BQ16" s="70"/>
    </row>
    <row r="17" spans="16:69">
      <c r="P17" s="70">
        <v>25</v>
      </c>
      <c r="Q17" s="70" t="str">
        <f>IF(OR('_SB Analysis'!$I$25&lt;&gt;"OK",COUNT('Section B Secondary Beam Design'!$G$16)&lt;&gt;1,'Section B Secondary Beam Design'!$G$16&lt;0),"",MIN('Section B Secondary Beam Design'!$T$8,P17))</f>
        <v/>
      </c>
      <c r="R17" s="71" t="str">
        <f>IF(OR('_SB Analysis'!$I$25&lt;&gt;"OK",COUNT('Section B Secondary Beam Design'!$G$16)&lt;&gt;1,'Section B Secondary Beam Design'!$G$16&lt;0),"",'Section B Secondary Beam Design'!O40)</f>
        <v/>
      </c>
      <c r="Y17" s="70">
        <v>0</v>
      </c>
      <c r="Z17" s="70">
        <v>0</v>
      </c>
      <c r="AA17" s="70">
        <v>0</v>
      </c>
      <c r="AB17" s="70">
        <v>0</v>
      </c>
      <c r="AC17" s="70" t="str">
        <f>IF(OR('_SB Analysis'!$I$25&lt;&gt;"OK",COUNT('Section B Secondary Beam Design'!$G$16)&lt;&gt;1,'Section B Secondary Beam Design'!$G$16&lt;0),"",IF(Y17=0,'Section B Secondary Beam Design'!$G$16,Y17-'Section B Secondary Beam Design'!$G$16))</f>
        <v/>
      </c>
      <c r="AD17" s="70" t="str">
        <f>IF(OR('_SB Analysis'!$I$25&lt;&gt;"OK",COUNT('Section B Secondary Beam Design'!$G$16)&lt;&gt;1,'Section B Secondary Beam Design'!$G$16&lt;0),"",IF(Z17=0,'Section B Secondary Beam Design'!$G$16,Z17-'Section B Secondary Beam Design'!$G$16))</f>
        <v/>
      </c>
      <c r="AE17" s="70" t="str">
        <f>IF(OR('_SB Analysis'!$I$25&lt;&gt;"OK",COUNT('Section B Secondary Beam Design'!$G$16)&lt;&gt;1,'Section B Secondary Beam Design'!$G$16&lt;0),"",IF(AC17='Section B Secondary Beam Design'!$G$16,AC17-$AE$11,AC17+$AE$11))</f>
        <v/>
      </c>
      <c r="AF17" s="70" t="str">
        <f>IF(OR('_SB Analysis'!$I$25&lt;&gt;"OK",COUNT('Section B Secondary Beam Design'!$G$16)&lt;&gt;1,'Section B Secondary Beam Design'!$G$16&lt;0),"",IF(AD17='Section B Secondary Beam Design'!$G$16,AD17-$AE$11,AD17+$AE$10))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IF(OR('_SB Analysis'!$I$25&lt;&gt;"OK",COUNT('Section B Secondary Beam Design'!$G$16)&lt;&gt;1,'Section B Secondary Beam Design'!$G$16&lt;0),"",MIN('Section B Secondary Beam Design'!$T$8,P18))</f>
        <v/>
      </c>
      <c r="R18" s="71" t="str">
        <f>IF(OR('_SB Analysis'!$I$25&lt;&gt;"OK",COUNT('Section B Secondary Beam Design'!$G$16)&lt;&gt;1,'Section B Secondary Beam Design'!$G$16&lt;0),"",'Section B Secondary Beam Design'!O44)</f>
        <v/>
      </c>
      <c r="Y18" s="70"/>
      <c r="Z18" s="70"/>
      <c r="AA18" s="70"/>
      <c r="AB18" s="70"/>
      <c r="AC18" s="70"/>
      <c r="AD18" s="70"/>
      <c r="AE18" s="70"/>
      <c r="AF18" s="70"/>
      <c r="AG18" s="70"/>
      <c r="AH18" s="70"/>
      <c r="AI18" s="70"/>
      <c r="AJ18" s="70"/>
      <c r="AK18" s="70"/>
      <c r="AL18" s="70"/>
      <c r="AM18" s="70"/>
      <c r="AN18" s="70"/>
      <c r="AO18" s="70"/>
      <c r="AP18" s="70"/>
      <c r="AQ18" s="70"/>
      <c r="AR18" s="70">
        <v>0</v>
      </c>
      <c r="AS18" s="70" t="str">
        <f>IF(OR('_SB Analysis'!$I$25&lt;&gt;"OK",COUNT('Section B Secondary Beam Design'!$G$16)&lt;&gt;1,'Section B Secondary Beam Design'!$G$16&lt;0),"",Z14)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IF(OR('_SB Analysis'!$I$25&lt;&gt;"OK",COUNT('Section B Secondary Beam Design'!$G$16)&lt;&gt;1,'Section B Secondary Beam Design'!$G$16&lt;0),"",MIN('Section B Secondary Beam Design'!$T$8,P19))</f>
        <v/>
      </c>
      <c r="R19" s="71" t="str">
        <f>IF(OR('_SB Analysis'!$I$25&lt;&gt;"OK",COUNT('Section B Secondary Beam Design'!$G$16)&lt;&gt;1,'Section B Secondary Beam Design'!$G$16&lt;0),"",'_SB Helpers'!O52)</f>
        <v/>
      </c>
      <c r="Y19" s="70"/>
      <c r="Z19" s="70"/>
      <c r="AA19" s="70"/>
      <c r="AB19" s="70"/>
      <c r="AC19" s="70"/>
      <c r="AD19" s="70"/>
      <c r="AE19" s="70"/>
      <c r="AF19" s="70"/>
      <c r="AG19" s="70"/>
      <c r="AH19" s="70"/>
      <c r="AI19" s="70"/>
      <c r="AJ19" s="70"/>
      <c r="AK19" s="70"/>
      <c r="AL19" s="70"/>
      <c r="AM19" s="70"/>
      <c r="AN19" s="70"/>
      <c r="AO19" s="70"/>
      <c r="AP19" s="70"/>
      <c r="AQ19" s="70"/>
      <c r="AR19" s="70" t="str">
        <f>IF(OR('_SB Analysis'!$I$25&lt;&gt;"OK",COUNT('Section B Secondary Beam Design'!$G$16)&lt;&gt;1,'Section B Secondary Beam Design'!$G$16&lt;0),"",Y15)</f>
        <v/>
      </c>
      <c r="AS19" s="70" t="str">
        <f>IF(OR('_SB Analysis'!$I$25&lt;&gt;"OK",COUNT('Section B Secondary Beam Design'!$G$16)&lt;&gt;1,'Section B Secondary Beam Design'!$G$16&lt;0),"",Z15)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IF(OR('_SB Analysis'!$I$25&lt;&gt;"OK",COUNT('Section B Secondary Beam Design'!$G$16)&lt;&gt;1,'Section B Secondary Beam Design'!$G$16&lt;0),"",Y16)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IF(OR('_SB Analysis'!$I$25&lt;&gt;"OK",COUNT('Section B Secondary Beam Design'!$G$16)&lt;&gt;1,'Section B Secondary Beam Design'!$G$16&lt;0),"",'_SB Helpers'!O59)</f>
        <v/>
      </c>
      <c r="T21" s="276" t="str">
        <f>IF(OR('_SB Analysis'!$I$25&lt;&gt;"OK",COUNT('Section B Secondary Beam Design'!$G$16)&lt;&gt;1,'Section B Secondary Beam Design'!$G$16&lt;0),"",IF(AND('Section B Secondary Beam Design'!N40="OKAY",'Section B Secondary Beam Design'!N44="OKAY",'Section B Secondary Beam Design'!N52="OKAY",'Section B Secondary Beam Design'!N59="OKAY",'Section B Secondary Beam Design'!N69="OKAY",'Section B Secondary Beam Design'!N77="OKAY",'Section B Secondary Beam Design'!N78="OKAY",'Section B Secondary Beam Design'!N87="OKAY"),"OKAY","NOT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IF(OR('_SB Analysis'!$I$25&lt;&gt;"OK",COUNT('Section B Secondary Beam Design'!$G$16)&lt;&gt;1,'Section B Secondary Beam Design'!$G$16&lt;0),"",'_SB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Secondary Beam Design'!G12&amp;"|"&amp;'Section B Secondary Beam Design'!G14&amp;"|"&amp;'Section B Secondary Beam Design'!G15&amp;"|"&amp;'Section B Secondary Beam Design'!G16&amp;"|"&amp;'Section B Secondary Beam Design'!G17&amp;"|"&amp;'Section B Secondary Beam Design'!G18&amp;"|"&amp;'Section B Secondary Beam Design'!G19&amp;"|"&amp;'Section B Secondary Beam Design'!G23&amp;"|"&amp;'Section B Secondary Beam Design'!G24&amp;"|"&amp;N('Section B Secondary Beam Design'!G13)&amp;"|"&amp;'Section B Secondary Beam Design'!G85&amp;"|"&amp;'Section B Secondary Beam Design'!T8&amp;"|"&amp;'Section B Secondary Beam Design'!T9&amp;"|"&amp;'Section B Secondary Beam Design'!T10&amp;"|"&amp;'Section B Secondary Beam Design'!T11&amp;"|8layers"</f>
        <v>|||||500|500|||0|20|40|250|150|4|8layers</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7" t="str">
        <f>IF(IFERROR(INDEX('_SB Analysis'!BF6:BF25,T37-5),"")="MANUAL","MANUAL mode: adopted steel retained.","AUTO mode: inputs trigger reinforcement selection.")</f>
        <v>AUTO mode: inputs trigger reinforcement selection.</v>
      </c>
      <c r="S38" s="567"/>
      <c r="T38" s="567"/>
      <c r="U38" s="567"/>
      <c r="V38" s="567"/>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7"/>
      <c r="S39" s="567"/>
      <c r="T39" s="567"/>
      <c r="U39" s="567"/>
      <c r="V39" s="567"/>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IF(OR('_SB Analysis'!$I$25&lt;&gt;"OK",COUNT('Section B Secondary Beam Design'!$G$16)&lt;&gt;1,'Section B Secondary Beam Design'!$G$16&lt;0),"",SBBeamLayerDepth(40,0,'Section B Secondary Beam Design'!$C$40:$D$47,'Section B Secondary Beam Design'!$C$110:$D$117,'Section B Secondary Beam Design'!$G$14:$G$16,'Section B Secondary Beam Design'!$G$58))</f>
        <v/>
      </c>
      <c r="Q40" s="70" t="str">
        <f>IF(OR('_SB Analysis'!$I$25&lt;&gt;"OK",COUNT('Section B Secondary Beam Design'!$G$16)&lt;&gt;1,'Section B Secondary Beam Design'!$G$16&lt;0),"",SBBeamDepth(40,'Section B Secondary Beam Design'!$C$40:$D$47,'Section B Secondary Beam Design'!$C$110:$D$117,'Section B Secondary Beam Design'!$G$14:$G$16,'Section B Secondary Beam Design'!$G$58))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IF(OR('_SB Analysis'!$I$25&lt;&gt;"OK",COUNT('Section B Secondary Beam Design'!$G$16)&lt;&gt;1,'Section B Secondary Beam Design'!$G$16&lt;0),"",SBBeamLayerDepth(40,1,'Section B Secondary Beam Design'!$C$40:$D$47,'Section B Secondary Beam Design'!$C$110:$D$117,'Section B Secondary Beam Design'!$G$14:$G$16,'Section B Secondary Beam Design'!$G$58))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IF(OR('_SB Analysis'!$I$25&lt;&gt;"OK",COUNT('Section B Secondary Beam Design'!$G$16)&lt;&gt;1,'Section B Secondary Beam Design'!$G$16&lt;0),"",SBBeamLayerDepth(40,2,'Section B Secondary Beam Design'!$C$40:$D$47,'Section B Secondary Beam Design'!$C$110:$D$117,'Section B Secondary Beam Design'!$G$14:$G$16,'Section B Secondary Beam Design'!$G$58))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IF(OR('_SB Analysis'!$I$25&lt;&gt;"OK",COUNT('Section B Secondary Beam Design'!$G$16)&lt;&gt;1,'Section B Secondary Beam Design'!$G$16&lt;0),"",SBBeamLayerDepth(40,3,'Section B Secondary Beam Design'!$C$40:$D$47,'Section B Secondary Beam Design'!$C$110:$D$117,'Section B Secondary Beam Design'!$G$14:$G$16,'Section B Secondary Beam Design'!$G$58))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IF(OR('_SB Analysis'!$I$25&lt;&gt;"OK",COUNT('Section B Secondary Beam Design'!$G$16)&lt;&gt;1,'Section B Secondary Beam Design'!$G$16&lt;0),"",SBBeamLayerDepth(44,0,'Section B Secondary Beam Design'!$C$40:$D$47,'Section B Secondary Beam Design'!$C$110:$D$117,'Section B Secondary Beam Design'!$G$14:$G$16,'Section B Secondary Beam Design'!$G$58))</f>
        <v/>
      </c>
      <c r="Q44" s="70" t="str">
        <f>IF(OR('_SB Analysis'!$I$25&lt;&gt;"OK",COUNT('Section B Secondary Beam Design'!$G$16)&lt;&gt;1,'Section B Secondary Beam Design'!$G$16&lt;0),"",SBBeamDepth(44,'Section B Secondary Beam Design'!$C$40:$D$47,'Section B Secondary Beam Design'!$C$110:$D$117,'Section B Secondary Beam Design'!$G$14:$G$16,'Section B Secondary Beam Design'!$G$58))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IF(OR('_SB Analysis'!$I$25&lt;&gt;"OK",COUNT('Section B Secondary Beam Design'!$G$16)&lt;&gt;1,'Section B Secondary Beam Design'!$G$16&lt;0),"",SBBeamLayerDepth(44,1,'Section B Secondary Beam Design'!$C$40:$D$47,'Section B Secondary Beam Design'!$C$110:$D$117,'Section B Secondary Beam Design'!$G$14:$G$16,'Section B Secondary Beam Design'!$G$58))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IF(OR('_SB Analysis'!$I$25&lt;&gt;"OK",COUNT('Section B Secondary Beam Design'!$G$16)&lt;&gt;1,'Section B Secondary Beam Design'!$G$16&lt;0),"",SBBeamLayerDepth(44,2,'Section B Secondary Beam Design'!$C$40:$D$47,'Section B Secondary Beam Design'!$C$110:$D$117,'Section B Secondary Beam Design'!$G$14:$G$16,'Section B Secondary Beam Design'!$G$58))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IF(OR('_SB Analysis'!$I$25&lt;&gt;"OK",COUNT('Section B Secondary Beam Design'!$G$16)&lt;&gt;1,'Section B Secondary Beam Design'!$G$16&lt;0),"",SBBeamLayerDepth(44,3,'Section B Secondary Beam Design'!$C$40:$D$47,'Section B Secondary Beam Design'!$C$110:$D$117,'Section B Secondary Beam Design'!$G$14:$G$16,'Section B Secondary Beam Design'!$G$58))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IF(OR('_SB Analysis'!$I$25&lt;&gt;"OK",COUNT('Section B Secondary Beam Design'!$G$16)&lt;&gt;1,'Section B Secondary Beam Design'!$G$16&lt;0),"",MIN(P51,'Section B Secondary Beam Design'!$T$9))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IF(OR('_SB Analysis'!$I$25&lt;&gt;"OK",COUNT('Section B Secondary Beam Design'!$G$16)&lt;&gt;1,'Section B Secondary Beam Design'!$G$16&lt;0),"",IF('Section B Secondary Beam Design'!K51&lt;(MIN('Section B Secondary Beam Design'!G52,0.8*'Section B Secondary Beam Design'!G17^0.5)),"","Provide large section"))</f>
        <v/>
      </c>
      <c r="P52" s="70">
        <v>275</v>
      </c>
      <c r="Q52" s="70" t="str">
        <f>IF(OR('_SB Analysis'!$I$25&lt;&gt;"OK",COUNT('Section B Secondary Beam Design'!$G$16)&lt;&gt;1,'Section B Secondary Beam Design'!$G$16&lt;0),"",MIN(P52,'Section B Secondary Beam Design'!$T$9))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IF(OR('_SB Analysis'!$I$25&lt;&gt;"OK",COUNT('Section B Secondary Beam Design'!$G$16)&lt;&gt;1,'Section B Secondary Beam Design'!$G$16&lt;0),"",MIN(P53,'Section B Secondary Beam Design'!$T$9))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IF(OR('_SB Analysis'!$I$25&lt;&gt;"OK",COUNT('Section B Secondary Beam Design'!$G$16)&lt;&gt;1,'Section B Secondary Beam Design'!$G$16&lt;0),"",MIN(P54,'Section B Secondary Beam Design'!$T$9))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IF(OR('_SB Analysis'!$I$25&lt;&gt;"OK",COUNT('Section B Secondary Beam Design'!$G$16)&lt;&gt;1,'Section B Secondary Beam Design'!$G$16&lt;0),"",MIN(P55,'Section B Secondary Beam Design'!$T$9))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IF(OR('_SB Analysis'!$I$25&lt;&gt;"OK",COUNT('Section B Secondary Beam Design'!$G$16)&lt;&gt;1,'Section B Secondary Beam Design'!$G$16&lt;0),"",MIN(P56,'Section B Secondary Beam Design'!$T$9))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IF(OR('_SB Analysis'!$I$25&lt;&gt;"OK",COUNT('Section B Secondary Beam Design'!$G$16)&lt;&gt;1,'Section B Secondary Beam Design'!$G$16&lt;0),"",MIN(P57,'Section B Secondary Beam Design'!$T$9))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IF(OR('_SB Analysis'!$I$25&lt;&gt;"OK",COUNT('Section B Secondary Beam Design'!$G$16)&lt;&gt;1,'Section B Secondary Beam Design'!$G$16&lt;0),"",MIN(P58,'Section B Secondary Beam Design'!$T$9))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IF(OR('_SB Analysis'!$I$25&lt;&gt;"OK",COUNT('Section B Secondary Beam Design'!$G$16)&lt;&gt;1,'Section B Secondary Beam Design'!$G$16&lt;0),"",IF('Section B Secondary Beam Design'!K58&gt;'Section B Secondary Beam Design'!K56,IF('Section B Secondary Beam Design'!H58&lt;0.75*'Section B Secondary Beam Design'!G29,"","Increase space"),"Provide more links"))</f>
        <v/>
      </c>
      <c r="P59" s="70">
        <v>100</v>
      </c>
      <c r="Q59" s="70" t="str">
        <f>IF(OR('_SB Analysis'!$I$25&lt;&gt;"OK",COUNT('Section B Secondary Beam Design'!$G$16)&lt;&gt;1,'Section B Secondary Beam Design'!$G$16&lt;0),"",MIN(P59,'Section B Secondary Beam Design'!$T$9))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IF(OR('_SB Analysis'!$I$25&lt;&gt;"OK",COUNT('Section B Secondary Beam Design'!$G$16)&lt;&gt;1,'Section B Secondary Beam Design'!$G$16&lt;0),"","T"&amp;'Section B Secondary Beam Design'!G58&amp;"-"&amp;'Section B Secondary Beam Design'!H58&amp;"("&amp;'Section B Secondary Beam Design'!E58&amp;" "&amp;'Section B Secondary Beam Design'!F58&amp;")")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IF(OR('_SB Analysis'!$I$25&lt;&gt;"OK",COUNT('Section B Secondary Beam Design'!$G$16)&lt;&gt;1,'Section B Secondary Beam Design'!$G$16&lt;0),"",1000/6)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IF(OR('_SB Analysis'!$I$25&lt;&gt;"OK",COUNT('Section B Secondary Beam Design'!$G$16)&lt;&gt;1,'Section B Secondary Beam Design'!$G$16&lt;0),"",IF('Section B Secondary Beam Design'!C69="&lt;",IF('Section B Secondary Beam Design'!J69="&gt;","vt&gt;vtu y1/550",""),"(v+vt)&gt;vtu"))</f>
        <v/>
      </c>
      <c r="P69" s="70"/>
      <c r="Q69" s="70"/>
      <c r="R69" s="71" t="str">
        <f>IF(OR('_SB Analysis'!$I$25&lt;&gt;"OK",COUNT('Section B Secondary Beam Design'!$G$16)&lt;&gt;1,'Section B Secondary Beam Design'!$G$16&lt;0),"",IF('Section B Secondary Beam Design'!N69&lt;&gt;"OKAY",'Section B Secondary Beam Design'!K63+'Section B Secondary Beam Design'!K51,""))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IF(OR('_SB Analysis'!$I$25&lt;&gt;"OK",COUNT('Section B Secondary Beam Design'!$G$16)&lt;&gt;1,'Section B Secondary Beam Design'!$G$16&lt;0),"",IF('Section B Secondary Beam Design'!K72&lt;&gt;0,IF('Section B Secondary Beam Design'!K76&gt;'Section B Secondary Beam Design'!K72,IF('Section B Secondary Beam Design'!H76&lt;MIN('Section B Secondary Beam Design'!G67,'Section B Secondary Beam Design'!G68/2,200),"","Increase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IF(OR('_SB Analysis'!$I$25&lt;&gt;"OK",COUNT('Section B Secondary Beam Design'!$G$16)&lt;&gt;1,'Section B Secondary Beam Design'!$G$16&lt;0),"",IF('Section B Secondary Beam Design'!K78&gt;'Section B Secondary Beam Design'!K74,"","Provide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IF(OR('_SB Analysis'!$I$25&lt;&gt;"OK",COUNT('Section B Secondary Beam Design'!$G$16)&lt;&gt;1,'Section B Secondary Beam Design'!$G$16&lt;0),"",SBBeamLayerDepth(40,4,'Section B Secondary Beam Design'!$C$40:$D$47,'Section B Secondary Beam Design'!$C$110:$D$117,'Section B Secondary Beam Design'!$G$14:$G$16,'Section B Secondary Beam Design'!$G$58))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IF(OR('_SB Analysis'!$I$25&lt;&gt;"OK",COUNT('Section B Secondary Beam Design'!$G$16)&lt;&gt;1,'Section B Secondary Beam Design'!$G$16&lt;0),"",SBBeamLayerDepth(40,5,'Section B Secondary Beam Design'!$C$40:$D$47,'Section B Secondary Beam Design'!$C$110:$D$117,'Section B Secondary Beam Design'!$G$14:$G$16,'Section B Secondary Beam Design'!$G$58))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IF(OR('_SB Analysis'!$I$25&lt;&gt;"OK",COUNT('Section B Secondary Beam Design'!$G$16)&lt;&gt;1,'Section B Secondary Beam Design'!$G$16&lt;0),"",SBBeamLayerDepth(40,6,'Section B Secondary Beam Design'!$C$40:$D$47,'Section B Secondary Beam Design'!$C$110:$D$117,'Section B Secondary Beam Design'!$G$14:$G$16,'Section B Secondary Beam Design'!$G$58))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IF(OR('_SB Analysis'!$I$25&lt;&gt;"OK",COUNT('Section B Secondary Beam Design'!$G$16)&lt;&gt;1,'Section B Secondary Beam Design'!$G$16&lt;0),"",SBBeamLayerDepth(40,7,'Section B Secondary Beam Design'!$C$40:$D$47,'Section B Secondary Beam Design'!$C$110:$D$117,'Section B Secondary Beam Design'!$G$14:$G$16,'Section B Secondary Beam Design'!$G$58))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IF(OR('_SB Analysis'!$I$25&lt;&gt;"OK",COUNT('Section B Secondary Beam Design'!$G$16)&lt;&gt;1,'Section B Secondary Beam Design'!$G$16&lt;0),"",SBBeamLayerDepth(44,4,'Section B Secondary Beam Design'!$C$40:$D$47,'Section B Secondary Beam Design'!$C$110:$D$117,'Section B Secondary Beam Design'!$G$14:$G$16,'Section B Secondary Beam Design'!$G$58))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IF(OR('_SB Analysis'!$I$25&lt;&gt;"OK",COUNT('Section B Secondary Beam Design'!$G$16)&lt;&gt;1,'Section B Secondary Beam Design'!$G$16&lt;0),"",SBBeamLayerDepth(44,5,'Section B Secondary Beam Design'!$C$40:$D$47,'Section B Secondary Beam Design'!$C$110:$D$117,'Section B Secondary Beam Design'!$G$14:$G$16,'Section B Secondary Beam Design'!$G$58))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IF(OR('_SB Analysis'!$I$25&lt;&gt;"OK",COUNT('Section B Secondary Beam Design'!$G$16)&lt;&gt;1,'Section B Secondary Beam Design'!$G$16&lt;0),"",SBBeamLayerDepth(44,6,'Section B Secondary Beam Design'!$C$40:$D$47,'Section B Secondary Beam Design'!$C$110:$D$117,'Section B Secondary Beam Design'!$G$14:$G$16,'Section B Secondary Beam Design'!$G$58))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IF(OR('_SB Analysis'!$I$25&lt;&gt;"OK",COUNT('Section B Secondary Beam Design'!$G$16)&lt;&gt;1,'Section B Secondary Beam Design'!$G$16&lt;0),"",SBBeamLayerDepth(44,7,'Section B Secondary Beam Design'!$C$40:$D$47,'Section B Secondary Beam Design'!$C$110:$D$117,'Section B Secondary Beam Design'!$G$14:$G$16,'Section B Secondary Beam Design'!$G$58))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5" priority="3" stopIfTrue="1" operator="equal">
      <formula>"NOT OKAY"</formula>
    </cfRule>
  </conditionalFormatting>
  <conditionalFormatting sqref="P37 P35">
    <cfRule type="cellIs" dxfId="4" priority="2" stopIfTrue="1" operator="equal">
      <formula>"NOT OKAY"</formula>
    </cfRule>
  </conditionalFormatting>
  <conditionalFormatting sqref="T21">
    <cfRule type="cellIs" dxfId="3" priority="1" stopIfTrue="1" operator="equal">
      <formula>"NOT OKAY"</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75B5"/>
  </sheetPr>
  <dimension ref="A1:G68"/>
  <sheetViews>
    <sheetView showGridLines="0" topLeftCell="C1" workbookViewId="0">
      <pane ySplit="5" topLeftCell="A13" activePane="bottomLeft" state="frozen"/>
      <selection pane="bottomLeft" activeCell="D15" sqref="D15"/>
    </sheetView>
  </sheetViews>
  <sheetFormatPr defaultRowHeight="13.8"/>
  <cols>
    <col min="1" max="1" width="14" customWidth="1"/>
    <col min="2" max="2" width="38" customWidth="1"/>
    <col min="3" max="3" width="11" customWidth="1"/>
    <col min="4" max="4" width="32" customWidth="1"/>
    <col min="5" max="5" width="46" customWidth="1"/>
    <col min="6" max="6" width="28" customWidth="1"/>
    <col min="7" max="7" width="52" customWidth="1"/>
  </cols>
  <sheetData>
    <row r="1" spans="1:7" ht="21" customHeight="1">
      <c r="A1" s="439" t="s">
        <v>0</v>
      </c>
      <c r="B1" s="439"/>
      <c r="C1" s="439"/>
      <c r="D1" s="439"/>
      <c r="E1" s="439"/>
      <c r="F1" s="439"/>
      <c r="G1" s="439"/>
    </row>
    <row r="2" spans="1:7" ht="21" customHeight="1">
      <c r="A2" s="441" t="s">
        <v>1</v>
      </c>
      <c r="B2" s="441"/>
      <c r="C2" s="441"/>
      <c r="D2" s="441"/>
      <c r="E2" s="441"/>
      <c r="F2" s="441"/>
      <c r="G2" s="441"/>
    </row>
    <row r="3" spans="1:7" ht="21" customHeight="1">
      <c r="A3" s="441" t="s">
        <v>2</v>
      </c>
      <c r="B3" s="441"/>
      <c r="C3" s="441"/>
      <c r="D3" s="441"/>
      <c r="E3" s="441"/>
      <c r="F3" s="441"/>
      <c r="G3" s="441"/>
    </row>
    <row r="4" spans="1:7" ht="21" customHeight="1">
      <c r="A4" s="441" t="s">
        <v>3</v>
      </c>
      <c r="B4" s="441"/>
      <c r="C4" s="441"/>
      <c r="D4" s="441"/>
      <c r="E4" s="441"/>
      <c r="F4" s="441"/>
      <c r="G4" s="441"/>
    </row>
    <row r="5" spans="1:7" ht="34.049999999999997" customHeight="1">
      <c r="A5" s="2" t="s">
        <v>4</v>
      </c>
      <c r="B5" s="2" t="s">
        <v>5</v>
      </c>
      <c r="C5" s="2" t="s">
        <v>6</v>
      </c>
      <c r="D5" s="2" t="s">
        <v>7</v>
      </c>
      <c r="E5" s="2" t="s">
        <v>8</v>
      </c>
      <c r="F5" s="2" t="s">
        <v>9</v>
      </c>
      <c r="G5" s="2" t="s">
        <v>10</v>
      </c>
    </row>
    <row r="6" spans="1:7" ht="48" customHeight="1">
      <c r="A6" s="5" t="s">
        <v>11</v>
      </c>
      <c r="B6" s="3" t="s">
        <v>12</v>
      </c>
      <c r="C6" s="4">
        <v>2</v>
      </c>
      <c r="D6" s="3" t="s">
        <v>13</v>
      </c>
      <c r="E6" s="3" t="s">
        <v>14</v>
      </c>
      <c r="F6" s="3" t="s">
        <v>15</v>
      </c>
      <c r="G6" s="3" t="s">
        <v>16</v>
      </c>
    </row>
    <row r="7" spans="1:7" ht="24" customHeight="1">
      <c r="A7" s="5" t="s">
        <v>17</v>
      </c>
      <c r="B7" s="3" t="s">
        <v>18</v>
      </c>
      <c r="C7" s="4">
        <v>2.5</v>
      </c>
      <c r="D7" s="3" t="s">
        <v>19</v>
      </c>
      <c r="E7" s="3" t="s">
        <v>20</v>
      </c>
      <c r="F7" s="3" t="s">
        <v>21</v>
      </c>
      <c r="G7" s="3" t="s">
        <v>16</v>
      </c>
    </row>
    <row r="8" spans="1:7" ht="72" customHeight="1">
      <c r="A8" s="5" t="s">
        <v>22</v>
      </c>
      <c r="B8" s="3" t="s">
        <v>23</v>
      </c>
      <c r="C8" s="4">
        <v>3</v>
      </c>
      <c r="D8" s="3" t="s">
        <v>24</v>
      </c>
      <c r="E8" s="3" t="s">
        <v>25</v>
      </c>
      <c r="F8" s="3" t="s">
        <v>26</v>
      </c>
      <c r="G8" s="3" t="s">
        <v>16</v>
      </c>
    </row>
    <row r="9" spans="1:7" ht="24" customHeight="1">
      <c r="A9" s="5" t="s">
        <v>27</v>
      </c>
      <c r="B9" s="3" t="s">
        <v>28</v>
      </c>
      <c r="C9" s="4">
        <v>4</v>
      </c>
      <c r="D9" s="3" t="s">
        <v>29</v>
      </c>
      <c r="E9" s="3" t="s">
        <v>30</v>
      </c>
      <c r="F9" s="3" t="s">
        <v>31</v>
      </c>
      <c r="G9" s="3" t="s">
        <v>16</v>
      </c>
    </row>
    <row r="10" spans="1:7" ht="96" customHeight="1">
      <c r="A10" s="5" t="s">
        <v>32</v>
      </c>
      <c r="B10" s="3" t="s">
        <v>33</v>
      </c>
      <c r="C10" s="4">
        <v>5</v>
      </c>
      <c r="D10" s="3" t="s">
        <v>34</v>
      </c>
      <c r="E10" s="3" t="s">
        <v>35</v>
      </c>
      <c r="F10" s="3" t="s">
        <v>36</v>
      </c>
      <c r="G10" s="3" t="s">
        <v>16</v>
      </c>
    </row>
    <row r="11" spans="1:7" ht="36" customHeight="1">
      <c r="A11" s="5" t="s">
        <v>37</v>
      </c>
      <c r="B11" s="3" t="s">
        <v>38</v>
      </c>
      <c r="C11" s="4">
        <v>7.5</v>
      </c>
      <c r="D11" s="3" t="s">
        <v>39</v>
      </c>
      <c r="E11" s="3" t="s">
        <v>40</v>
      </c>
      <c r="F11" s="3" t="s">
        <v>41</v>
      </c>
      <c r="G11" s="3" t="s">
        <v>16</v>
      </c>
    </row>
    <row r="12" spans="1:7" ht="132" customHeight="1">
      <c r="A12" s="5" t="s">
        <v>42</v>
      </c>
      <c r="B12" s="3" t="s">
        <v>43</v>
      </c>
      <c r="C12" s="4"/>
      <c r="D12" s="3" t="s">
        <v>44</v>
      </c>
      <c r="E12" s="3" t="s">
        <v>45</v>
      </c>
      <c r="F12" s="3" t="s">
        <v>46</v>
      </c>
      <c r="G12" s="3" t="s">
        <v>16</v>
      </c>
    </row>
    <row r="14" spans="1:7" ht="31.95" customHeight="1">
      <c r="A14" s="621" t="s">
        <v>1215</v>
      </c>
      <c r="B14" s="621"/>
      <c r="C14" s="621"/>
    </row>
    <row r="15" spans="1:7" ht="24" customHeight="1">
      <c r="A15" s="6" t="s">
        <v>47</v>
      </c>
      <c r="B15" s="6" t="s">
        <v>4</v>
      </c>
      <c r="C15" s="6" t="s">
        <v>6</v>
      </c>
      <c r="D15" s="6" t="s">
        <v>1214</v>
      </c>
    </row>
    <row r="16" spans="1:7">
      <c r="A16" s="383" t="s">
        <v>52</v>
      </c>
      <c r="B16" s="383" t="s">
        <v>11</v>
      </c>
      <c r="C16" s="384">
        <f>IFERROR(INDEX($C$6:$C$12,MATCH($B16,$A$6:$A$12,0)),"")</f>
        <v>2</v>
      </c>
      <c r="D16" s="385"/>
    </row>
    <row r="17" spans="1:4">
      <c r="A17" s="383" t="s">
        <v>79</v>
      </c>
      <c r="B17" s="383" t="s">
        <v>42</v>
      </c>
      <c r="C17" s="384">
        <f>IFERROR(INDEX($C$6:$C$12,MATCH($B17,$A$6:$A$12,0)),"")</f>
        <v>0</v>
      </c>
      <c r="D17" s="385"/>
    </row>
    <row r="18" spans="1:4">
      <c r="A18" s="383" t="s">
        <v>58</v>
      </c>
      <c r="B18" s="383" t="s">
        <v>22</v>
      </c>
      <c r="C18" s="384">
        <f>IFERROR(INDEX($C$6:$C$12,MATCH($B18,$A$6:$A$12,0)),"")</f>
        <v>3</v>
      </c>
      <c r="D18" s="385"/>
    </row>
    <row r="19" spans="1:4">
      <c r="A19" s="383" t="s">
        <v>60</v>
      </c>
      <c r="B19" s="383" t="s">
        <v>27</v>
      </c>
      <c r="C19" s="384">
        <f>IFERROR(INDEX($C$6:$C$12,MATCH($B19,$A$6:$A$12,0)),"")</f>
        <v>4</v>
      </c>
      <c r="D19" s="385"/>
    </row>
    <row r="20" spans="1:4">
      <c r="A20" s="383" t="s">
        <v>57</v>
      </c>
      <c r="B20" s="383" t="s">
        <v>22</v>
      </c>
      <c r="C20" s="384">
        <f>IFERROR(INDEX($C$6:$C$12,MATCH($B20,$A$6:$A$12,0)),"")</f>
        <v>3</v>
      </c>
      <c r="D20" s="385"/>
    </row>
    <row r="21" spans="1:4" ht="41.4">
      <c r="A21" s="383" t="s">
        <v>1177</v>
      </c>
      <c r="B21" s="383" t="s">
        <v>42</v>
      </c>
      <c r="C21" s="384"/>
      <c r="D21" s="385" t="s">
        <v>344</v>
      </c>
    </row>
    <row r="22" spans="1:4">
      <c r="A22" s="383" t="s">
        <v>55</v>
      </c>
      <c r="B22" s="383" t="s">
        <v>22</v>
      </c>
      <c r="C22" s="384">
        <f>IFERROR(INDEX($C$6:$C$12,MATCH($B22,$A$6:$A$12,0)),"")</f>
        <v>3</v>
      </c>
      <c r="D22" s="385"/>
    </row>
    <row r="23" spans="1:4" ht="27.6">
      <c r="A23" s="383" t="s">
        <v>1178</v>
      </c>
      <c r="B23" s="383" t="s">
        <v>32</v>
      </c>
      <c r="C23" s="386">
        <v>5</v>
      </c>
      <c r="D23" s="385" t="s">
        <v>1179</v>
      </c>
    </row>
    <row r="24" spans="1:4">
      <c r="A24" s="383" t="s">
        <v>59</v>
      </c>
      <c r="B24" s="383" t="s">
        <v>22</v>
      </c>
      <c r="C24" s="384">
        <f>IFERROR(INDEX($C$6:$C$12,MATCH($B24,$A$6:$A$12,0)),"")</f>
        <v>3</v>
      </c>
      <c r="D24" s="385"/>
    </row>
    <row r="25" spans="1:4">
      <c r="A25" s="383" t="s">
        <v>50</v>
      </c>
      <c r="B25" s="383" t="s">
        <v>11</v>
      </c>
      <c r="C25" s="384">
        <f>IFERROR(INDEX($C$6:$C$12,MATCH($B25,$A$6:$A$12,0)),"")</f>
        <v>2</v>
      </c>
      <c r="D25" s="385"/>
    </row>
    <row r="26" spans="1:4">
      <c r="A26" s="383" t="s">
        <v>70</v>
      </c>
      <c r="B26" s="383" t="s">
        <v>37</v>
      </c>
      <c r="C26" s="384">
        <f>IFERROR(INDEX($C$6:$C$12,MATCH($B26,$A$6:$A$12,0)),"")</f>
        <v>7.5</v>
      </c>
      <c r="D26" s="385"/>
    </row>
    <row r="27" spans="1:4" ht="55.2">
      <c r="A27" s="383" t="s">
        <v>1180</v>
      </c>
      <c r="B27" s="383" t="s">
        <v>42</v>
      </c>
      <c r="C27" s="384"/>
      <c r="D27" s="385" t="s">
        <v>1181</v>
      </c>
    </row>
    <row r="28" spans="1:4">
      <c r="A28" s="383" t="s">
        <v>65</v>
      </c>
      <c r="B28" s="383" t="s">
        <v>32</v>
      </c>
      <c r="C28" s="384">
        <f>IFERROR(INDEX($C$6:$C$12,MATCH($B28,$A$6:$A$12,0)),"")</f>
        <v>5</v>
      </c>
      <c r="D28" s="385"/>
    </row>
    <row r="29" spans="1:4">
      <c r="A29" s="383" t="s">
        <v>63</v>
      </c>
      <c r="B29" s="383" t="s">
        <v>32</v>
      </c>
      <c r="C29" s="384">
        <f>IFERROR(INDEX($C$6:$C$12,MATCH($B29,$A$6:$A$12,0)),"")</f>
        <v>5</v>
      </c>
      <c r="D29" s="385"/>
    </row>
    <row r="30" spans="1:4">
      <c r="A30" s="383" t="s">
        <v>76</v>
      </c>
      <c r="B30" s="383" t="s">
        <v>42</v>
      </c>
      <c r="C30" s="386">
        <v>46.6</v>
      </c>
      <c r="D30" s="385"/>
    </row>
    <row r="31" spans="1:4">
      <c r="A31" s="383" t="s">
        <v>51</v>
      </c>
      <c r="B31" s="383" t="s">
        <v>11</v>
      </c>
      <c r="C31" s="384">
        <f>IFERROR(INDEX($C$6:$C$12,MATCH($B31,$A$6:$A$12,0)),"")</f>
        <v>2</v>
      </c>
      <c r="D31" s="385"/>
    </row>
    <row r="32" spans="1:4">
      <c r="A32" s="383" t="s">
        <v>77</v>
      </c>
      <c r="B32" s="383" t="s">
        <v>42</v>
      </c>
      <c r="C32" s="386">
        <v>5</v>
      </c>
      <c r="D32" s="385"/>
    </row>
    <row r="33" spans="1:4" ht="41.4">
      <c r="A33" s="383" t="s">
        <v>1182</v>
      </c>
      <c r="B33" s="383" t="s">
        <v>11</v>
      </c>
      <c r="C33" s="386">
        <v>2</v>
      </c>
      <c r="D33" s="385" t="s">
        <v>1183</v>
      </c>
    </row>
    <row r="34" spans="1:4">
      <c r="A34" s="383" t="s">
        <v>56</v>
      </c>
      <c r="B34" s="383" t="s">
        <v>22</v>
      </c>
      <c r="C34" s="384">
        <f>IFERROR(INDEX($C$6:$C$12,MATCH($B34,$A$6:$A$12,0)),"")</f>
        <v>3</v>
      </c>
      <c r="D34" s="385"/>
    </row>
    <row r="35" spans="1:4" ht="55.2">
      <c r="A35" s="383" t="s">
        <v>81</v>
      </c>
      <c r="B35" s="383" t="s">
        <v>32</v>
      </c>
      <c r="C35" s="386">
        <v>5</v>
      </c>
      <c r="D35" s="385" t="s">
        <v>1184</v>
      </c>
    </row>
    <row r="36" spans="1:4">
      <c r="A36" s="383" t="s">
        <v>67</v>
      </c>
      <c r="B36" s="383" t="s">
        <v>32</v>
      </c>
      <c r="C36" s="384">
        <f>IFERROR(INDEX($C$6:$C$12,MATCH($B36,$A$6:$A$12,0)),"")</f>
        <v>5</v>
      </c>
      <c r="D36" s="385"/>
    </row>
    <row r="37" spans="1:4" ht="41.4">
      <c r="A37" s="383" t="s">
        <v>1185</v>
      </c>
      <c r="B37" s="383" t="s">
        <v>1186</v>
      </c>
      <c r="C37" s="386">
        <v>30</v>
      </c>
      <c r="D37" s="385" t="s">
        <v>1187</v>
      </c>
    </row>
    <row r="38" spans="1:4" ht="27.6">
      <c r="A38" s="383" t="s">
        <v>1188</v>
      </c>
      <c r="B38" s="383" t="s">
        <v>1189</v>
      </c>
      <c r="C38" s="386">
        <v>10</v>
      </c>
      <c r="D38" s="385" t="s">
        <v>1190</v>
      </c>
    </row>
    <row r="39" spans="1:4">
      <c r="A39" s="383" t="s">
        <v>69</v>
      </c>
      <c r="B39" s="383" t="s">
        <v>32</v>
      </c>
      <c r="C39" s="384">
        <f>IFERROR(INDEX($C$6:$C$12,MATCH($B39,$A$6:$A$12,0)),"")</f>
        <v>5</v>
      </c>
      <c r="D39" s="385"/>
    </row>
    <row r="40" spans="1:4" ht="27.6">
      <c r="A40" s="383" t="s">
        <v>1191</v>
      </c>
      <c r="B40" s="383" t="s">
        <v>32</v>
      </c>
      <c r="C40" s="386">
        <v>5</v>
      </c>
      <c r="D40" s="385" t="s">
        <v>1179</v>
      </c>
    </row>
    <row r="41" spans="1:4">
      <c r="A41" s="383" t="s">
        <v>53</v>
      </c>
      <c r="B41" s="383" t="s">
        <v>17</v>
      </c>
      <c r="C41" s="384">
        <f>IFERROR(INDEX($C$6:$C$12,MATCH($B41,$A$6:$A$12,0)),"")</f>
        <v>2.5</v>
      </c>
      <c r="D41" s="385"/>
    </row>
    <row r="42" spans="1:4">
      <c r="A42" s="383" t="s">
        <v>73</v>
      </c>
      <c r="B42" s="383" t="s">
        <v>37</v>
      </c>
      <c r="C42" s="384">
        <f>IFERROR(INDEX($C$6:$C$12,MATCH($B42,$A$6:$A$12,0)),"")</f>
        <v>7.5</v>
      </c>
      <c r="D42" s="385"/>
    </row>
    <row r="43" spans="1:4">
      <c r="A43" s="383" t="s">
        <v>54</v>
      </c>
      <c r="B43" s="383" t="s">
        <v>22</v>
      </c>
      <c r="C43" s="384">
        <f>IFERROR(INDEX($C$6:$C$12,MATCH($B43,$A$6:$A$12,0)),"")</f>
        <v>3</v>
      </c>
      <c r="D43" s="385"/>
    </row>
    <row r="44" spans="1:4" ht="27.6">
      <c r="A44" s="383" t="s">
        <v>1192</v>
      </c>
      <c r="B44" s="383" t="s">
        <v>32</v>
      </c>
      <c r="C44" s="386">
        <v>5</v>
      </c>
      <c r="D44" s="385" t="s">
        <v>1179</v>
      </c>
    </row>
    <row r="45" spans="1:4">
      <c r="A45" s="383" t="s">
        <v>71</v>
      </c>
      <c r="B45" s="383" t="s">
        <v>37</v>
      </c>
      <c r="C45" s="384">
        <f>IFERROR(INDEX($C$6:$C$12,MATCH($B45,$A$6:$A$12,0)),"")</f>
        <v>7.5</v>
      </c>
      <c r="D45" s="385"/>
    </row>
    <row r="46" spans="1:4" ht="27.6">
      <c r="A46" s="383" t="s">
        <v>1193</v>
      </c>
      <c r="B46" s="383" t="s">
        <v>37</v>
      </c>
      <c r="C46" s="386">
        <v>7.5</v>
      </c>
      <c r="D46" s="385" t="s">
        <v>1194</v>
      </c>
    </row>
    <row r="47" spans="1:4" ht="27.6">
      <c r="A47" s="383" t="s">
        <v>1195</v>
      </c>
      <c r="B47" s="383" t="s">
        <v>37</v>
      </c>
      <c r="C47" s="386">
        <v>7.5</v>
      </c>
      <c r="D47" s="385" t="s">
        <v>1194</v>
      </c>
    </row>
    <row r="48" spans="1:4">
      <c r="A48" s="383" t="s">
        <v>66</v>
      </c>
      <c r="B48" s="383" t="s">
        <v>32</v>
      </c>
      <c r="C48" s="384">
        <f t="shared" ref="C48:C55" si="0">IFERROR(INDEX($C$6:$C$12,MATCH($B48,$A$6:$A$12,0)),"")</f>
        <v>5</v>
      </c>
      <c r="D48" s="385"/>
    </row>
    <row r="49" spans="1:4">
      <c r="A49" s="383" t="s">
        <v>49</v>
      </c>
      <c r="B49" s="383" t="s">
        <v>11</v>
      </c>
      <c r="C49" s="384">
        <f t="shared" si="0"/>
        <v>2</v>
      </c>
      <c r="D49" s="385"/>
    </row>
    <row r="50" spans="1:4">
      <c r="A50" s="383" t="s">
        <v>62</v>
      </c>
      <c r="B50" s="383" t="s">
        <v>32</v>
      </c>
      <c r="C50" s="384">
        <f t="shared" si="0"/>
        <v>5</v>
      </c>
      <c r="D50" s="385"/>
    </row>
    <row r="51" spans="1:4">
      <c r="A51" s="383" t="s">
        <v>48</v>
      </c>
      <c r="B51" s="383" t="s">
        <v>11</v>
      </c>
      <c r="C51" s="384">
        <f t="shared" si="0"/>
        <v>2</v>
      </c>
      <c r="D51" s="385"/>
    </row>
    <row r="52" spans="1:4">
      <c r="A52" s="383" t="s">
        <v>68</v>
      </c>
      <c r="B52" s="383" t="s">
        <v>32</v>
      </c>
      <c r="C52" s="384">
        <f t="shared" si="0"/>
        <v>5</v>
      </c>
      <c r="D52" s="385"/>
    </row>
    <row r="53" spans="1:4">
      <c r="A53" s="383" t="s">
        <v>61</v>
      </c>
      <c r="B53" s="383" t="s">
        <v>32</v>
      </c>
      <c r="C53" s="384">
        <f t="shared" si="0"/>
        <v>5</v>
      </c>
      <c r="D53" s="385"/>
    </row>
    <row r="54" spans="1:4">
      <c r="A54" s="383" t="s">
        <v>64</v>
      </c>
      <c r="B54" s="383" t="s">
        <v>32</v>
      </c>
      <c r="C54" s="384">
        <f t="shared" si="0"/>
        <v>5</v>
      </c>
      <c r="D54" s="385"/>
    </row>
    <row r="55" spans="1:4">
      <c r="A55" s="383" t="s">
        <v>72</v>
      </c>
      <c r="B55" s="383" t="s">
        <v>37</v>
      </c>
      <c r="C55" s="384">
        <f t="shared" si="0"/>
        <v>7.5</v>
      </c>
      <c r="D55" s="385"/>
    </row>
    <row r="56" spans="1:4" ht="55.2">
      <c r="A56" s="383" t="s">
        <v>1196</v>
      </c>
      <c r="B56" s="383" t="s">
        <v>32</v>
      </c>
      <c r="C56" s="386">
        <v>5</v>
      </c>
      <c r="D56" s="385" t="s">
        <v>1197</v>
      </c>
    </row>
    <row r="57" spans="1:4" ht="55.2">
      <c r="A57" s="383" t="s">
        <v>1198</v>
      </c>
      <c r="B57" s="383" t="s">
        <v>22</v>
      </c>
      <c r="C57" s="386">
        <v>3</v>
      </c>
      <c r="D57" s="385" t="s">
        <v>1199</v>
      </c>
    </row>
    <row r="58" spans="1:4" ht="26.4">
      <c r="A58" s="383" t="s">
        <v>74</v>
      </c>
      <c r="B58" s="383" t="s">
        <v>42</v>
      </c>
      <c r="C58" s="386">
        <v>7.5</v>
      </c>
      <c r="D58" s="385"/>
    </row>
    <row r="59" spans="1:4">
      <c r="A59" s="383" t="s">
        <v>78</v>
      </c>
      <c r="B59" s="383" t="s">
        <v>42</v>
      </c>
      <c r="C59" s="386">
        <v>7.5</v>
      </c>
      <c r="D59" s="385"/>
    </row>
    <row r="60" spans="1:4" ht="55.2">
      <c r="A60" s="383" t="s">
        <v>1200</v>
      </c>
      <c r="B60" s="383" t="s">
        <v>1201</v>
      </c>
      <c r="C60" s="386">
        <v>12</v>
      </c>
      <c r="D60" s="385" t="s">
        <v>1202</v>
      </c>
    </row>
    <row r="61" spans="1:4" ht="26.4">
      <c r="A61" s="383" t="s">
        <v>80</v>
      </c>
      <c r="B61" s="383" t="s">
        <v>42</v>
      </c>
      <c r="C61" s="384">
        <f>IFERROR(INDEX($C$6:$C$12,MATCH($B61,$A$6:$A$12,0)),"")</f>
        <v>0</v>
      </c>
      <c r="D61" s="385"/>
    </row>
    <row r="62" spans="1:4" ht="27.6">
      <c r="A62" s="383" t="s">
        <v>1203</v>
      </c>
      <c r="B62" s="383" t="s">
        <v>1204</v>
      </c>
      <c r="C62" s="386">
        <v>20</v>
      </c>
      <c r="D62" s="385" t="s">
        <v>1205</v>
      </c>
    </row>
    <row r="63" spans="1:4" ht="55.2">
      <c r="A63" s="383" t="s">
        <v>1206</v>
      </c>
      <c r="B63" s="383" t="s">
        <v>11</v>
      </c>
      <c r="C63" s="386">
        <v>2</v>
      </c>
      <c r="D63" s="385" t="s">
        <v>1207</v>
      </c>
    </row>
    <row r="64" spans="1:4">
      <c r="A64" s="383" t="s">
        <v>75</v>
      </c>
      <c r="B64" s="383" t="s">
        <v>42</v>
      </c>
      <c r="C64" s="386">
        <v>3</v>
      </c>
      <c r="D64" s="385"/>
    </row>
    <row r="65" spans="1:4" ht="27.6">
      <c r="A65" s="383" t="s">
        <v>1208</v>
      </c>
      <c r="B65" s="383" t="s">
        <v>1186</v>
      </c>
      <c r="C65" s="386">
        <v>30</v>
      </c>
      <c r="D65" s="385" t="s">
        <v>1209</v>
      </c>
    </row>
    <row r="66" spans="1:4">
      <c r="A66" s="383" t="s">
        <v>82</v>
      </c>
      <c r="B66" s="383" t="s">
        <v>42</v>
      </c>
      <c r="C66" s="384">
        <f>IFERROR(INDEX($C$6:$C$12,MATCH($B66,$A$6:$A$12,0)),"")</f>
        <v>0</v>
      </c>
      <c r="D66" s="385"/>
    </row>
    <row r="67" spans="1:4" ht="55.2">
      <c r="A67" s="383" t="s">
        <v>1210</v>
      </c>
      <c r="B67" s="383" t="s">
        <v>27</v>
      </c>
      <c r="C67" s="386">
        <v>4</v>
      </c>
      <c r="D67" s="385" t="s">
        <v>1211</v>
      </c>
    </row>
    <row r="68" spans="1:4" ht="55.2">
      <c r="A68" s="383" t="s">
        <v>1212</v>
      </c>
      <c r="B68" s="383" t="s">
        <v>42</v>
      </c>
      <c r="C68" s="384"/>
      <c r="D68" s="385" t="s">
        <v>1213</v>
      </c>
    </row>
  </sheetData>
  <sortState xmlns:xlrd2="http://schemas.microsoft.com/office/spreadsheetml/2017/richdata2" ref="A16:D51">
    <sortCondition ref="A16"/>
  </sortState>
  <mergeCells count="5">
    <mergeCell ref="A1:G1"/>
    <mergeCell ref="A2:G2"/>
    <mergeCell ref="A3:G3"/>
    <mergeCell ref="A4:G4"/>
    <mergeCell ref="A14:C14"/>
  </mergeCells>
  <phoneticPr fontId="1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AE33-D0D3-4D59-9949-2D1588C50037}">
  <sheetPr codeName="Sheet21"/>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IF(OR('_CB Analysis'!$I$25&lt;&gt;"OK",COUNT('Section B Cantilever Beam Check'!$G$16)&lt;&gt;1,'Section B Cantilever Beam Check'!$G$16&lt;0),"",IF(OR('Section B Cantilever Beam Check'!G15&gt;750,'Section B Cantilever Beam Check'!K25&lt;&gt;0),ROUNDUP(AM3/'Section B Cantilever Beam Check'!T10,0),""))</f>
        <v/>
      </c>
      <c r="AM2" s="68" t="str">
        <f>IF(OR('_CB Analysis'!$I$25&lt;&gt;"OK",COUNT('Section B Cantilever Beam Check'!$G$16)&lt;&gt;1,'Section B Cantilever Beam Check'!$G$16&lt;0),"",MIN(AR16,AU16,AX16,BA16))</f>
        <v/>
      </c>
      <c r="AN2" s="69"/>
      <c r="AO2" s="70" t="str">
        <f>IF(OR('_CB Analysis'!$I$25&lt;&gt;"OK",COUNT('Section B Cantilever Beam Check'!$G$16)&lt;&gt;1,'Section B Cantilever Beam Check'!$G$16&lt;0),"",'Section B Cantilever Beam Check'!G16)</f>
        <v/>
      </c>
      <c r="AP2" s="73" t="str">
        <f>IF(OR('_CB Analysis'!$I$25&lt;&gt;"OK",COUNT('Section B Cantilever Beam Check'!$G$16)&lt;&gt;1,'Section B Cantilever Beam Check'!$G$16&lt;0),"",AM3/2)</f>
        <v/>
      </c>
      <c r="AQ2" s="70"/>
      <c r="AR2" s="269" t="str">
        <f>IF(OR('_CB Analysis'!$I$25&lt;&gt;"OK",COUNT('Section B Cantilever Beam Check'!$G$16)&lt;&gt;1,'Section B Cantilever Beam Check'!$G$16&lt;0),"",AD14)</f>
        <v/>
      </c>
      <c r="AS2" s="70" t="str">
        <f>IF(OR('_CB Analysis'!$I$25&lt;&gt;"OK",COUNT('Section B Cantilever Beam Check'!$G$16)&lt;&gt;1,'Section B Cantilever Beam Check'!$G$16&lt;0),"",AD16)</f>
        <v/>
      </c>
      <c r="AT2" s="70" t="str">
        <f>IF(OR('_CB Analysis'!$I$25&lt;&gt;"OK",COUNT('Section B Cantilever Beam Check'!$G$16)&lt;&gt;1,'Section B Cantilever Beam Check'!$G$16&lt;0),"",(AC15-AC14)/('Section B Cantilever Beam Check'!C40-1))</f>
        <v/>
      </c>
      <c r="AU2" s="70" t="str">
        <f>IF(OR('_CB Analysis'!$I$25&lt;&gt;"OK",COUNT('Section B Cantilever Beam Check'!$G$16)&lt;&gt;1,'Section B Cantilever Beam Check'!$G$16&lt;0),"",IF(AW2=0,'Section B Cantilever Beam Check'!$G$16,AR2-AF10))</f>
        <v/>
      </c>
      <c r="AV2" s="70" t="str">
        <f>IF(OR('_CB Analysis'!$I$25&lt;&gt;"OK",COUNT('Section B Cantilever Beam Check'!$G$16)&lt;&gt;1,'Section B Cantilever Beam Check'!$G$16&lt;0),"",AS2)</f>
        <v/>
      </c>
      <c r="AW2" s="70" t="str">
        <f>IF(OR('_CB Analysis'!$I$25&lt;&gt;"OK",COUNT('Section B Cantilever Beam Check'!$G$16)&lt;&gt;1,'Section B Cantilever Beam Check'!$G$16&lt;0),"",IF((AC15-AC14)/('Section B Cantilever Beam Check'!C41-1)&lt;0,0,(AC15-AC14)/('Section B Cantilever Beam Check'!C41-1)))</f>
        <v/>
      </c>
      <c r="AX2" s="70" t="str">
        <f>IF(OR('_CB Analysis'!$I$25&lt;&gt;"OK",COUNT('Section B Cantilever Beam Check'!$G$16)&lt;&gt;1,'Section B Cantilever Beam Check'!$G$16&lt;0),"",IF(AZ2=0,'Section B Cantilever Beam Check'!$G$16,$AU$2-AF10))</f>
        <v/>
      </c>
      <c r="AY2" s="70" t="str">
        <f>IF(OR('_CB Analysis'!$I$25&lt;&gt;"OK",COUNT('Section B Cantilever Beam Check'!$G$16)&lt;&gt;1,'Section B Cantilever Beam Check'!$G$16&lt;0),"",AV2)</f>
        <v/>
      </c>
      <c r="AZ2" s="70" t="str">
        <f>IF(OR('_CB Analysis'!$I$25&lt;&gt;"OK",COUNT('Section B Cantilever Beam Check'!$G$16)&lt;&gt;1,'Section B Cantilever Beam Check'!$G$16&lt;0),"",IF((AC15-AC14)/('Section B Cantilever Beam Check'!C42-1)&lt;0,0,(AC16-AC14)/('Section B Cantilever Beam Check'!C42-1)))</f>
        <v/>
      </c>
      <c r="BA2" s="70" t="str">
        <f>IF(OR('_CB Analysis'!$I$25&lt;&gt;"OK",COUNT('Section B Cantilever Beam Check'!$G$16)&lt;&gt;1,'Section B Cantilever Beam Check'!$G$16&lt;0),"",IF(BC2=0,'Section B Cantilever Beam Check'!$G$16,$AX$2-AF10))</f>
        <v/>
      </c>
      <c r="BB2" s="70" t="str">
        <f>IF(OR('_CB Analysis'!$I$25&lt;&gt;"OK",COUNT('Section B Cantilever Beam Check'!$G$16)&lt;&gt;1,'Section B Cantilever Beam Check'!$G$16&lt;0),"",AY2)</f>
        <v/>
      </c>
      <c r="BC2" s="73" t="str">
        <f>IF(OR('_CB Analysis'!$I$25&lt;&gt;"OK",COUNT('Section B Cantilever Beam Check'!$G$16)&lt;&gt;1,'Section B Cantilever Beam Check'!$G$16&lt;0),"",IF((AC15-AC14)/('Section B Cantilever Beam Check'!C43-1)&lt;0,0,(AC15-AC14)/('Section B Cantilever Beam Check'!C43-1)))</f>
        <v/>
      </c>
      <c r="BD2" s="269" t="str">
        <f>IF(OR('_CB Analysis'!$I$25&lt;&gt;"OK",COUNT('Section B Cantilever Beam Check'!$G$16)&lt;&gt;1,'Section B Cantilever Beam Check'!$G$16&lt;0),"",AC13)</f>
        <v/>
      </c>
      <c r="BE2" s="70" t="str">
        <f>IF(OR('_CB Analysis'!$I$25&lt;&gt;"OK",COUNT('Section B Cantilever Beam Check'!$G$16)&lt;&gt;1,'Section B Cantilever Beam Check'!$G$16&lt;0),"",AC13)</f>
        <v/>
      </c>
      <c r="BF2" s="70" t="str">
        <f>IF(OR('_CB Analysis'!$I$25&lt;&gt;"OK",COUNT('Section B Cantilever Beam Check'!$G$16)&lt;&gt;1,'Section B Cantilever Beam Check'!$G$16&lt;0),"",(AC15-AC14)/('Section B Cantilever Beam Check'!C44-1))</f>
        <v/>
      </c>
      <c r="BG2" s="70" t="str">
        <f>IF(OR('_CB Analysis'!$I$25&lt;&gt;"OK",COUNT('Section B Cantilever Beam Check'!$G$16)&lt;&gt;1,'Section B Cantilever Beam Check'!$G$16&lt;0),"",IF(BI2=0,'Section B Cantilever Beam Check'!$G$16,BD2+AF10))</f>
        <v/>
      </c>
      <c r="BH2" s="70" t="str">
        <f>IF(OR('_CB Analysis'!$I$25&lt;&gt;"OK",COUNT('Section B Cantilever Beam Check'!$G$16)&lt;&gt;1,'Section B Cantilever Beam Check'!$G$16&lt;0),"",BE2)</f>
        <v/>
      </c>
      <c r="BI2" s="70" t="str">
        <f>IF(OR('_CB Analysis'!$I$25&lt;&gt;"OK",COUNT('Section B Cantilever Beam Check'!$G$16)&lt;&gt;1,'Section B Cantilever Beam Check'!$G$16&lt;0),"",IF((AC15-AC14)/('Section B Cantilever Beam Check'!C45-1)&lt;0,0,(AC15-AC14)/('Section B Cantilever Beam Check'!C45-1)))</f>
        <v/>
      </c>
      <c r="BJ2" s="70" t="str">
        <f>IF(OR('_CB Analysis'!$I$25&lt;&gt;"OK",COUNT('Section B Cantilever Beam Check'!$G$16)&lt;&gt;1,'Section B Cantilever Beam Check'!$G$16&lt;0),"",IF(BL2=0,'Section B Cantilever Beam Check'!$G$16,$BG$2+AF10))</f>
        <v/>
      </c>
      <c r="BK2" s="70" t="str">
        <f>IF(OR('_CB Analysis'!$I$25&lt;&gt;"OK",COUNT('Section B Cantilever Beam Check'!$G$16)&lt;&gt;1,'Section B Cantilever Beam Check'!$G$16&lt;0),"",BH2)</f>
        <v/>
      </c>
      <c r="BL2" s="70" t="str">
        <f>IF(OR('_CB Analysis'!$I$25&lt;&gt;"OK",COUNT('Section B Cantilever Beam Check'!$G$16)&lt;&gt;1,'Section B Cantilever Beam Check'!$G$16&lt;0),"",IF((AC15-AC14)/('Section B Cantilever Beam Check'!C46-1)&lt;0,0,(AC15-AC14)/('Section B Cantilever Beam Check'!C46-1)))</f>
        <v/>
      </c>
      <c r="BM2" s="70" t="str">
        <f>IF(OR('_CB Analysis'!$I$25&lt;&gt;"OK",COUNT('Section B Cantilever Beam Check'!$G$16)&lt;&gt;1,'Section B Cantilever Beam Check'!$G$16&lt;0),"",IF(BO2=0,'Section B Cantilever Beam Check'!$G$16,$BJ$2+AF10))</f>
        <v/>
      </c>
      <c r="BN2" s="70" t="str">
        <f>IF(OR('_CB Analysis'!$I$25&lt;&gt;"OK",COUNT('Section B Cantilever Beam Check'!$G$16)&lt;&gt;1,'Section B Cantilever Beam Check'!$G$16&lt;0),"",BK2)</f>
        <v/>
      </c>
      <c r="BO2" s="73" t="str">
        <f>IF(OR('_CB Analysis'!$I$25&lt;&gt;"OK",COUNT('Section B Cantilever Beam Check'!$G$16)&lt;&gt;1,'Section B Cantilever Beam Check'!$G$16&lt;0),"",IF((AC15-AC14)/('Section B Cantilever Beam Check'!C47-1)&lt;0,0,(AC15-AC14)/('Section B Cantilever Beam Check'!C47-1)))</f>
        <v/>
      </c>
      <c r="BP2" s="70"/>
      <c r="BQ2" s="70"/>
    </row>
    <row r="3" spans="15:69">
      <c r="P3" s="70"/>
      <c r="Q3" s="70"/>
      <c r="Y3" s="70"/>
      <c r="Z3" s="70"/>
      <c r="AA3" s="70"/>
      <c r="AB3" s="70"/>
      <c r="AC3" s="70" t="s">
        <v>563</v>
      </c>
      <c r="AD3" s="70" t="str">
        <f>IF(OR('_CB Analysis'!$I$25&lt;&gt;"OK",COUNT('Section B Cantilever Beam Check'!$G$16)&lt;&gt;1,'Section B Cantilever Beam Check'!$G$16&lt;0),"",'Section B Cantilever Beam Check'!$G$16)</f>
        <v/>
      </c>
      <c r="AE3" s="70" t="str">
        <f>IF(OR('_CB Analysis'!$I$25&lt;&gt;"OK",COUNT('Section B Cantilever Beam Check'!$G$16)&lt;&gt;1,'Section B Cantilever Beam Check'!$G$16&lt;0),"",Y4-AD3)</f>
        <v/>
      </c>
      <c r="AF3" s="70"/>
      <c r="AG3" s="70"/>
      <c r="AH3" s="70" t="s">
        <v>564</v>
      </c>
      <c r="AI3" s="70"/>
      <c r="AJ3" s="70"/>
      <c r="AK3" s="74" t="str">
        <f>IF(OR('_CB Analysis'!$I$25&lt;&gt;"OK",COUNT('Section B Cantilever Beam Check'!$G$16)&lt;&gt;1,'Section B Cantilever Beam Check'!$G$16&lt;0),"",'_CB Helpers'!O69)</f>
        <v/>
      </c>
      <c r="AL3" s="70" t="str">
        <f>IF(OR('_CB Analysis'!$I$25&lt;&gt;"OK",COUNT('Section B Cantilever Beam Check'!$G$16)&lt;&gt;1,'Section B Cantilever Beam Check'!$G$16&lt;0),"",IF(AL2="","",(MIN(AR16,AU16,AX16,BA16)-MAX(BD16,BG16,BJ16,BM16))/AL2))</f>
        <v/>
      </c>
      <c r="AM3" s="70" t="str">
        <f>IF(OR('_CB Analysis'!$I$25&lt;&gt;"OK",COUNT('Section B Cantilever Beam Check'!$G$16)&lt;&gt;1,'Section B Cantilever Beam Check'!$G$16&lt;0),"",MIN(AR16,AU16,AX16,BA16)-MAX(BD16,BG16,BJ16,BM16))</f>
        <v/>
      </c>
      <c r="AN3" s="70"/>
      <c r="AO3" s="70" t="str">
        <f>IF(OR('_CB Analysis'!$I$25&lt;&gt;"OK",COUNT('Section B Cantilever Beam Check'!$G$16)&lt;&gt;1,'Section B Cantilever Beam Check'!$G$16&lt;0),"",IF(AL5="",AO2,Y4-AO2))</f>
        <v/>
      </c>
      <c r="AP3" s="70" t="str">
        <f>IF(OR('_CB Analysis'!$I$25&lt;&gt;"OK",COUNT('Section B Cantilever Beam Check'!$G$16)&lt;&gt;1,'Section B Cantilever Beam Check'!$G$16&lt;0),"",AP2)</f>
        <v/>
      </c>
      <c r="AQ3" s="70"/>
      <c r="AR3" s="269" t="str">
        <f>IF(OR('_CB Analysis'!$I$25&lt;&gt;"OK",COUNT('Section B Cantilever Beam Check'!$G$16)&lt;&gt;1,'Section B Cantilever Beam Check'!$G$16&lt;0),"",IF(AS3&lt;&gt;'Section B Cantilever Beam Check'!$G$16,$AR$2,'Section B Cantilever Beam Check'!$G$16))</f>
        <v/>
      </c>
      <c r="AS3" s="70" t="str">
        <f>IF(OR('_CB Analysis'!$I$25&lt;&gt;"OK",COUNT('Section B Cantilever Beam Check'!$G$16)&lt;&gt;1,'Section B Cantilever Beam Check'!$G$16&lt;0),"",IF(AS2=0,0,IF(AS2+$AT$2&gt;$AC$15,0,AS2+$AT$2)))</f>
        <v/>
      </c>
      <c r="AT3" s="70"/>
      <c r="AU3" s="70" t="str">
        <f>IF(OR('_CB Analysis'!$I$25&lt;&gt;"OK",COUNT('Section B Cantilever Beam Check'!$G$16)&lt;&gt;1,'Section B Cantilever Beam Check'!$G$16&lt;0),"",IF(AV3&lt;&gt;'Section B Cantilever Beam Check'!$G$16,$AU$2,'Section B Cantilever Beam Check'!$G$16))</f>
        <v/>
      </c>
      <c r="AV3" s="70" t="str">
        <f>IF(OR('_CB Analysis'!$I$25&lt;&gt;"OK",COUNT('Section B Cantilever Beam Check'!$G$16)&lt;&gt;1,'Section B Cantilever Beam Check'!$G$16&lt;0),"",IF(AV2=0,0,IF(AV2+$AW$2&gt;$AC$15,0,AV2+$AW$2)))</f>
        <v/>
      </c>
      <c r="AW3" s="70"/>
      <c r="AX3" s="70" t="str">
        <f>IF(OR('_CB Analysis'!$I$25&lt;&gt;"OK",COUNT('Section B Cantilever Beam Check'!$G$16)&lt;&gt;1,'Section B Cantilever Beam Check'!$G$16&lt;0),"",IF(AY3&lt;&gt;'Section B Cantilever Beam Check'!$G$16,$AX$2,'Section B Cantilever Beam Check'!$G$16))</f>
        <v/>
      </c>
      <c r="AY3" s="70" t="str">
        <f>IF(OR('_CB Analysis'!$I$25&lt;&gt;"OK",COUNT('Section B Cantilever Beam Check'!$G$16)&lt;&gt;1,'Section B Cantilever Beam Check'!$G$16&lt;0),"",IF(AY2=0,0,IF(AY2+$AZ$2&gt;$AC$15,0,AY2+$AZ$2)))</f>
        <v/>
      </c>
      <c r="AZ3" s="70"/>
      <c r="BA3" s="70" t="str">
        <f>IF(OR('_CB Analysis'!$I$25&lt;&gt;"OK",COUNT('Section B Cantilever Beam Check'!$G$16)&lt;&gt;1,'Section B Cantilever Beam Check'!$G$16&lt;0),"",IF(BB3&lt;&gt;'Section B Cantilever Beam Check'!$G$16,$BA$2,'Section B Cantilever Beam Check'!$G$16))</f>
        <v/>
      </c>
      <c r="BB3" s="70" t="str">
        <f>IF(OR('_CB Analysis'!$I$25&lt;&gt;"OK",COUNT('Section B Cantilever Beam Check'!$G$16)&lt;&gt;1,'Section B Cantilever Beam Check'!$G$16&lt;0),"",IF(BB2=0,0,IF(BB2+$BC$2&gt;$AC$15,0,BB2+$BC$2)))</f>
        <v/>
      </c>
      <c r="BC3" s="73"/>
      <c r="BD3" s="269" t="str">
        <f>IF(OR('_CB Analysis'!$I$25&lt;&gt;"OK",COUNT('Section B Cantilever Beam Check'!$G$16)&lt;&gt;1,'Section B Cantilever Beam Check'!$G$16&lt;0),"",IF(BE3&lt;&gt;0,$BD$2,0))</f>
        <v/>
      </c>
      <c r="BE3" s="70" t="str">
        <f>IF(OR('_CB Analysis'!$I$25&lt;&gt;"OK",COUNT('Section B Cantilever Beam Check'!$G$16)&lt;&gt;1,'Section B Cantilever Beam Check'!$G$16&lt;0),"",IF(BE2=0,0,IF(BE2+$BF$2&gt;$AC$15,0,BE2+$BF$2)))</f>
        <v/>
      </c>
      <c r="BF3" s="70"/>
      <c r="BG3" s="70" t="str">
        <f>IF(OR('_CB Analysis'!$I$25&lt;&gt;"OK",COUNT('Section B Cantilever Beam Check'!$G$16)&lt;&gt;1,'Section B Cantilever Beam Check'!$G$16&lt;0),"",IF(BH3&lt;&gt;'Section B Cantilever Beam Check'!$G$16,$BG$2,'Section B Cantilever Beam Check'!$G$16))</f>
        <v/>
      </c>
      <c r="BH3" s="70" t="str">
        <f>IF(OR('_CB Analysis'!$I$25&lt;&gt;"OK",COUNT('Section B Cantilever Beam Check'!$G$16)&lt;&gt;1,'Section B Cantilever Beam Check'!$G$16&lt;0),"",IF(BH2=0,0,IF(BH2+$BI$2&gt;$AC$15,0,BH2+$BI$2)))</f>
        <v/>
      </c>
      <c r="BI3" s="70"/>
      <c r="BJ3" s="70" t="str">
        <f>IF(OR('_CB Analysis'!$I$25&lt;&gt;"OK",COUNT('Section B Cantilever Beam Check'!$G$16)&lt;&gt;1,'Section B Cantilever Beam Check'!$G$16&lt;0),"",IF(BK3&lt;&gt;'Section B Cantilever Beam Check'!$G$16,$BJ$2,'Section B Cantilever Beam Check'!$G$16))</f>
        <v/>
      </c>
      <c r="BK3" s="70" t="str">
        <f>IF(OR('_CB Analysis'!$I$25&lt;&gt;"OK",COUNT('Section B Cantilever Beam Check'!$G$16)&lt;&gt;1,'Section B Cantilever Beam Check'!$G$16&lt;0),"",IF(BK2=0,0,IF(BK2+$BL$2&gt;$AC$15,0,BK2+$BL$2)))</f>
        <v/>
      </c>
      <c r="BL3" s="70"/>
      <c r="BM3" s="70" t="str">
        <f>IF(OR('_CB Analysis'!$I$25&lt;&gt;"OK",COUNT('Section B Cantilever Beam Check'!$G$16)&lt;&gt;1,'Section B Cantilever Beam Check'!$G$16&lt;0),"",IF(BN3&lt;&gt;'Section B Cantilever Beam Check'!$G$16,$BM$2,'Section B Cantilever Beam Check'!$G$16))</f>
        <v/>
      </c>
      <c r="BN3" s="70" t="str">
        <f>IF(OR('_CB Analysis'!$I$25&lt;&gt;"OK",COUNT('Section B Cantilever Beam Check'!$G$16)&lt;&gt;1,'Section B Cantilever Beam Check'!$G$16&lt;0),"",IF(BN2=0,0,IF(BN2+$BO$2&gt;$AC$15,0,BN2+$BO$2)))</f>
        <v/>
      </c>
      <c r="BO3" s="73"/>
      <c r="BP3" s="70"/>
      <c r="BQ3" s="70"/>
    </row>
    <row r="4" spans="15:69">
      <c r="P4" s="70"/>
      <c r="Q4" s="70"/>
      <c r="Y4" s="70" t="str">
        <f>IF(OR('_CB Analysis'!$I$25&lt;&gt;"OK",COUNT('Section B Cantilever Beam Check'!$G$16)&lt;&gt;1,'Section B Cantilever Beam Check'!$G$16&lt;0),"",'Section B Cantilever Beam Check'!G12*1000)</f>
        <v/>
      </c>
      <c r="Z4" s="70" t="str">
        <f>IF(OR('_CB Analysis'!$I$25&lt;&gt;"OK",COUNT('Section B Cantilever Beam Check'!$G$16)&lt;&gt;1,'Section B Cantilever Beam Check'!$G$16&lt;0),"",'Section B Cantilever Beam Check'!G15)</f>
        <v/>
      </c>
      <c r="AA4" s="70">
        <v>0</v>
      </c>
      <c r="AB4" s="70">
        <v>0</v>
      </c>
      <c r="AC4" s="70" t="str">
        <f>IF(OR('_CB Analysis'!$I$25&lt;&gt;"OK",COUNT('Section B Cantilever Beam Check'!$G$16)&lt;&gt;1,'Section B Cantilever Beam Check'!$G$16&lt;0),"",IF('Section B Cantilever Beam Check'!C40=0,"",'Section B Cantilever Beam Check'!C40&amp;"T"&amp;'Section B Cantilever Beam Check'!D40))</f>
        <v/>
      </c>
      <c r="AD4" s="70" t="str">
        <f>IF(OR('_CB Analysis'!$I$25&lt;&gt;"OK",COUNT('Section B Cantilever Beam Check'!$G$16)&lt;&gt;1,'Section B Cantilever Beam Check'!$G$16&lt;0),"",AR2)</f>
        <v/>
      </c>
      <c r="AE4" s="70" t="str">
        <f>IF(OR('_CB Analysis'!$I$25&lt;&gt;"OK",COUNT('Section B Cantilever Beam Check'!$G$16)&lt;&gt;1,'Section B Cantilever Beam Check'!$G$16&lt;0),"",AD4)</f>
        <v/>
      </c>
      <c r="AF4" s="70"/>
      <c r="AG4" s="70"/>
      <c r="AH4" s="70" t="str">
        <f>IF(OR('_CB Analysis'!$I$25&lt;&gt;"OK",COUNT('Section B Cantilever Beam Check'!$G$16)&lt;&gt;1,'Section B Cantilever Beam Check'!$G$16&lt;0),"",IF('Section B Cantilever Beam Check'!C44=0,"",'Section B Cantilever Beam Check'!C44&amp;"T"&amp;'Section B Cantilever Beam Check'!D44))</f>
        <v/>
      </c>
      <c r="AI4" s="70" t="str">
        <f>IF(OR('_CB Analysis'!$I$25&lt;&gt;"OK",COUNT('Section B Cantilever Beam Check'!$G$16)&lt;&gt;1,'Section B Cantilever Beam Check'!$G$16&lt;0),"",BD2)</f>
        <v/>
      </c>
      <c r="AJ4" s="70" t="str">
        <f>IF(OR('_CB Analysis'!$I$25&lt;&gt;"OK",COUNT('Section B Cantilever Beam Check'!$G$16)&lt;&gt;1,'Section B Cantilever Beam Check'!$G$16&lt;0),"",AI4)</f>
        <v/>
      </c>
      <c r="AK4" s="74" t="str">
        <f>IF(OR('_CB Analysis'!$I$25&lt;&gt;"OK",COUNT('Section B Cantilever Beam Check'!$G$16)&lt;&gt;1,'Section B Cantilever Beam Check'!$G$16&lt;0),"",'_CB Helpers'!O77)</f>
        <v/>
      </c>
      <c r="AL4" s="70" t="str">
        <f>IF(OR('_CB Analysis'!$I$25&lt;&gt;"OK",COUNT('Section B Cantilever Beam Check'!$G$16)&lt;&gt;1,'Section B Cantilever Beam Check'!$G$16&lt;0),"",IF(AL3="","",(AL3*MIN(500,'Section B Cantilever Beam Check'!G14)/'Section B Cantilever Beam Check'!G18)^0.5))</f>
        <v/>
      </c>
      <c r="AM4" s="70"/>
      <c r="AN4" s="73"/>
      <c r="AO4" s="270" t="str">
        <f>IF(OR('_CB Analysis'!$I$25&lt;&gt;"OK",COUNT('Section B Cantilever Beam Check'!$G$16)&lt;&gt;1,'Section B Cantilever Beam Check'!$G$16&lt;0),"",IF(AL4="","",AL2-1&amp;"T"&amp;AL5&amp;" EF"))</f>
        <v/>
      </c>
      <c r="AP4" s="70"/>
      <c r="AQ4" s="70"/>
      <c r="AR4" s="269" t="str">
        <f>IF(OR('_CB Analysis'!$I$25&lt;&gt;"OK",COUNT('Section B Cantilever Beam Check'!$G$16)&lt;&gt;1,'Section B Cantilever Beam Check'!$G$16&lt;0),"",IF(AS4&lt;&gt;'Section B Cantilever Beam Check'!$G$16,$AR$2,'Section B Cantilever Beam Check'!$G$16))</f>
        <v/>
      </c>
      <c r="AS4" s="70" t="str">
        <f>IF(OR('_CB Analysis'!$I$25&lt;&gt;"OK",COUNT('Section B Cantilever Beam Check'!$G$16)&lt;&gt;1,'Section B Cantilever Beam Check'!$G$16&lt;0),"",IF(AS3='Section B Cantilever Beam Check'!$G$16,'Section B Cantilever Beam Check'!$G$16,IF(AS3+$AT$2&gt;$AC$15,'Section B Cantilever Beam Check'!$G$16,AS3+$AT$2)))</f>
        <v/>
      </c>
      <c r="AT4" s="70"/>
      <c r="AU4" s="70" t="str">
        <f>IF(OR('_CB Analysis'!$I$25&lt;&gt;"OK",COUNT('Section B Cantilever Beam Check'!$G$16)&lt;&gt;1,'Section B Cantilever Beam Check'!$G$16&lt;0),"",IF(AV4&lt;&gt;'Section B Cantilever Beam Check'!$G$16,$AU$2,'Section B Cantilever Beam Check'!$G$16))</f>
        <v/>
      </c>
      <c r="AV4" s="70" t="str">
        <f>IF(OR('_CB Analysis'!$I$25&lt;&gt;"OK",COUNT('Section B Cantilever Beam Check'!$G$16)&lt;&gt;1,'Section B Cantilever Beam Check'!$G$16&lt;0),"",IF(AV3='Section B Cantilever Beam Check'!$G$16,'Section B Cantilever Beam Check'!$G$16,IF(AV3+$AW$2&gt;$AC$15,'Section B Cantilever Beam Check'!$G$16,AV3+$AW$2)))</f>
        <v/>
      </c>
      <c r="AW4" s="70"/>
      <c r="AX4" s="70" t="str">
        <f>IF(OR('_CB Analysis'!$I$25&lt;&gt;"OK",COUNT('Section B Cantilever Beam Check'!$G$16)&lt;&gt;1,'Section B Cantilever Beam Check'!$G$16&lt;0),"",IF(AY4&lt;&gt;'Section B Cantilever Beam Check'!$G$16,$AX$2,'Section B Cantilever Beam Check'!$G$16))</f>
        <v/>
      </c>
      <c r="AY4" s="70" t="str">
        <f>IF(OR('_CB Analysis'!$I$25&lt;&gt;"OK",COUNT('Section B Cantilever Beam Check'!$G$16)&lt;&gt;1,'Section B Cantilever Beam Check'!$G$16&lt;0),"",IF(AY3='Section B Cantilever Beam Check'!$G$16,'Section B Cantilever Beam Check'!$G$16,IF(AY3+$AZ$2&gt;$AC$15,'Section B Cantilever Beam Check'!$G$16,AY3+$AZ$2)))</f>
        <v/>
      </c>
      <c r="AZ4" s="70"/>
      <c r="BA4" s="70" t="str">
        <f>IF(OR('_CB Analysis'!$I$25&lt;&gt;"OK",COUNT('Section B Cantilever Beam Check'!$G$16)&lt;&gt;1,'Section B Cantilever Beam Check'!$G$16&lt;0),"",IF(BB4&lt;&gt;'Section B Cantilever Beam Check'!$G$16,$BA$2,'Section B Cantilever Beam Check'!$G$16))</f>
        <v/>
      </c>
      <c r="BB4" s="70" t="str">
        <f>IF(OR('_CB Analysis'!$I$25&lt;&gt;"OK",COUNT('Section B Cantilever Beam Check'!$G$16)&lt;&gt;1,'Section B Cantilever Beam Check'!$G$16&lt;0),"",IF(BB3='Section B Cantilever Beam Check'!$G$16,'Section B Cantilever Beam Check'!$G$16,IF(BB3+$BC$2&gt;$AC$15,'Section B Cantilever Beam Check'!$G$16,BB3+$BC$2)))</f>
        <v/>
      </c>
      <c r="BC4" s="73"/>
      <c r="BD4" s="269" t="str">
        <f>IF(OR('_CB Analysis'!$I$25&lt;&gt;"OK",COUNT('Section B Cantilever Beam Check'!$G$16)&lt;&gt;1,'Section B Cantilever Beam Check'!$G$16&lt;0),"",IF(BE4&lt;&gt;'Section B Cantilever Beam Check'!$G$16,$BD$2,'Section B Cantilever Beam Check'!$G$16))</f>
        <v/>
      </c>
      <c r="BE4" s="70" t="str">
        <f>IF(OR('_CB Analysis'!$I$25&lt;&gt;"OK",COUNT('Section B Cantilever Beam Check'!$G$16)&lt;&gt;1,'Section B Cantilever Beam Check'!$G$16&lt;0),"",IF(BE3='Section B Cantilever Beam Check'!$G$16,'Section B Cantilever Beam Check'!$G$16,IF(BE3+$BF$2&gt;$AC$15,'Section B Cantilever Beam Check'!$G$16,BE3+$BF$2)))</f>
        <v/>
      </c>
      <c r="BF4" s="70"/>
      <c r="BG4" s="70" t="str">
        <f>IF(OR('_CB Analysis'!$I$25&lt;&gt;"OK",COUNT('Section B Cantilever Beam Check'!$G$16)&lt;&gt;1,'Section B Cantilever Beam Check'!$G$16&lt;0),"",IF(BH4&lt;&gt;'Section B Cantilever Beam Check'!$G$16,$BG$2,'Section B Cantilever Beam Check'!$G$16))</f>
        <v/>
      </c>
      <c r="BH4" s="70" t="str">
        <f>IF(OR('_CB Analysis'!$I$25&lt;&gt;"OK",COUNT('Section B Cantilever Beam Check'!$G$16)&lt;&gt;1,'Section B Cantilever Beam Check'!$G$16&lt;0),"",IF(BH3='Section B Cantilever Beam Check'!$G$16,'Section B Cantilever Beam Check'!$G$16,IF(BH3+$BI$2&gt;$AC$15,'Section B Cantilever Beam Check'!$G$16,BH3+$BI$2)))</f>
        <v/>
      </c>
      <c r="BI4" s="70"/>
      <c r="BJ4" s="70" t="str">
        <f>IF(OR('_CB Analysis'!$I$25&lt;&gt;"OK",COUNT('Section B Cantilever Beam Check'!$G$16)&lt;&gt;1,'Section B Cantilever Beam Check'!$G$16&lt;0),"",IF(BK4&lt;&gt;'Section B Cantilever Beam Check'!$G$16,$BJ$2,'Section B Cantilever Beam Check'!$G$16))</f>
        <v/>
      </c>
      <c r="BK4" s="70" t="str">
        <f>IF(OR('_CB Analysis'!$I$25&lt;&gt;"OK",COUNT('Section B Cantilever Beam Check'!$G$16)&lt;&gt;1,'Section B Cantilever Beam Check'!$G$16&lt;0),"",IF(BK3='Section B Cantilever Beam Check'!$G$16,'Section B Cantilever Beam Check'!$G$16,IF(BK3+$BL$2&gt;$AC$15,'Section B Cantilever Beam Check'!$G$16,BK3+$BL$2)))</f>
        <v/>
      </c>
      <c r="BL4" s="70"/>
      <c r="BM4" s="70" t="str">
        <f>IF(OR('_CB Analysis'!$I$25&lt;&gt;"OK",COUNT('Section B Cantilever Beam Check'!$G$16)&lt;&gt;1,'Section B Cantilever Beam Check'!$G$16&lt;0),"",IF(BN4&lt;&gt;'Section B Cantilever Beam Check'!$G$16,$BM$2,'Section B Cantilever Beam Check'!$G$16))</f>
        <v/>
      </c>
      <c r="BN4" s="70" t="str">
        <f>IF(OR('_CB Analysis'!$I$25&lt;&gt;"OK",COUNT('Section B Cantilever Beam Check'!$G$16)&lt;&gt;1,'Section B Cantilever Beam Check'!$G$16&lt;0),"",IF(BN3='Section B Cantilever Beam Check'!$G$16,'Section B Cantilever Beam Check'!$G$16,IF(BN3+$BO$2&gt;$AC$15,'Section B Cantilever Beam Check'!$G$16,BN3+$BO$2)))</f>
        <v/>
      </c>
      <c r="BO4" s="73"/>
      <c r="BP4" s="70"/>
      <c r="BQ4" s="70"/>
    </row>
    <row r="5" spans="15:69">
      <c r="P5" s="70"/>
      <c r="Q5" s="70"/>
      <c r="Y5" s="70"/>
      <c r="Z5" s="70"/>
      <c r="AA5" s="70">
        <v>0</v>
      </c>
      <c r="AB5" s="70" t="str">
        <f>IF(OR('_CB Analysis'!$I$25&lt;&gt;"OK",COUNT('Section B Cantilever Beam Check'!$G$16)&lt;&gt;1,'Section B Cantilever Beam Check'!$G$16&lt;0),"",Y4)</f>
        <v/>
      </c>
      <c r="AC5" s="70" t="str">
        <f>IF(OR('_CB Analysis'!$I$25&lt;&gt;"OK",COUNT('Section B Cantilever Beam Check'!$G$16)&lt;&gt;1,'Section B Cantilever Beam Check'!$G$16&lt;0),"",IF('Section B Cantilever Beam Check'!C41=0,"",'Section B Cantilever Beam Check'!C41&amp;"T"&amp;'Section B Cantilever Beam Check'!D41))</f>
        <v/>
      </c>
      <c r="AD5" s="70" t="str">
        <f>IF(OR('_CB Analysis'!$I$25&lt;&gt;"OK",COUNT('Section B Cantilever Beam Check'!$G$16)&lt;&gt;1,'Section B Cantilever Beam Check'!$G$16&lt;0),"",AU2)</f>
        <v/>
      </c>
      <c r="AE5" s="70" t="str">
        <f>IF(OR('_CB Analysis'!$I$25&lt;&gt;"OK",COUNT('Section B Cantilever Beam Check'!$G$16)&lt;&gt;1,'Section B Cantilever Beam Check'!$G$16&lt;0),"",AD5)</f>
        <v/>
      </c>
      <c r="AF5" s="70"/>
      <c r="AG5" s="70"/>
      <c r="AH5" s="70" t="str">
        <f>IF(OR('_CB Analysis'!$I$25&lt;&gt;"OK",COUNT('Section B Cantilever Beam Check'!$G$16)&lt;&gt;1,'Section B Cantilever Beam Check'!$G$16&lt;0),"",IF('Section B Cantilever Beam Check'!C45=0,"",'Section B Cantilever Beam Check'!C45&amp;"T"&amp;'Section B Cantilever Beam Check'!D45))</f>
        <v/>
      </c>
      <c r="AI5" s="70" t="str">
        <f>IF(OR('_CB Analysis'!$I$25&lt;&gt;"OK",COUNT('Section B Cantilever Beam Check'!$G$16)&lt;&gt;1,'Section B Cantilever Beam Check'!$G$16&lt;0),"",BG2)</f>
        <v/>
      </c>
      <c r="AJ5" s="70" t="str">
        <f>IF(OR('_CB Analysis'!$I$25&lt;&gt;"OK",COUNT('Section B Cantilever Beam Check'!$G$16)&lt;&gt;1,'Section B Cantilever Beam Check'!$G$16&lt;0),"",AI5)</f>
        <v/>
      </c>
      <c r="AK5" s="74" t="str">
        <f>IF(OR('_CB Analysis'!$I$25&lt;&gt;"OK",COUNT('Section B Cantilever Beam Check'!$G$16)&lt;&gt;1,'Section B Cantilever Beam Check'!$G$16&lt;0),"",'_CB Helpers'!O78)</f>
        <v/>
      </c>
      <c r="AL5" s="70" t="str">
        <f>IF(OR('_CB Analysis'!$I$25&lt;&gt;"OK",COUNT('Section B Cantilever Beam Check'!$G$16)&lt;&gt;1,'Section B Cantilever Beam Check'!$G$16&lt;0),"",IF(AL4="","",IF(AL4&lt;10,10,IF(AL4&lt;12,12,IF(AL4&lt;16,16,IF(AL4&lt;20,20,IF(AL4&lt;25,25,IF(AL4&lt;32,32,40))))))))</f>
        <v/>
      </c>
      <c r="AM5" s="70"/>
      <c r="AN5" s="73"/>
      <c r="AO5" s="70"/>
      <c r="AP5" s="70"/>
      <c r="AQ5" s="70"/>
      <c r="AR5" s="269" t="str">
        <f>IF(OR('_CB Analysis'!$I$25&lt;&gt;"OK",COUNT('Section B Cantilever Beam Check'!$G$16)&lt;&gt;1,'Section B Cantilever Beam Check'!$G$16&lt;0),"",IF(AS5&lt;&gt;'Section B Cantilever Beam Check'!$G$16,$AR$2,'Section B Cantilever Beam Check'!$G$16))</f>
        <v/>
      </c>
      <c r="AS5" s="70" t="str">
        <f>IF(OR('_CB Analysis'!$I$25&lt;&gt;"OK",COUNT('Section B Cantilever Beam Check'!$G$16)&lt;&gt;1,'Section B Cantilever Beam Check'!$G$16&lt;0),"",IF(AS4='Section B Cantilever Beam Check'!$G$16,'Section B Cantilever Beam Check'!$G$16,IF(AS4+$AT$2&gt;$AC$15,'Section B Cantilever Beam Check'!$G$16,AS4+$AT$2)))</f>
        <v/>
      </c>
      <c r="AT5" s="70"/>
      <c r="AU5" s="70" t="str">
        <f>IF(OR('_CB Analysis'!$I$25&lt;&gt;"OK",COUNT('Section B Cantilever Beam Check'!$G$16)&lt;&gt;1,'Section B Cantilever Beam Check'!$G$16&lt;0),"",IF(AV5&lt;&gt;'Section B Cantilever Beam Check'!$G$16,$AU$2,'Section B Cantilever Beam Check'!$G$16))</f>
        <v/>
      </c>
      <c r="AV5" s="70" t="str">
        <f>IF(OR('_CB Analysis'!$I$25&lt;&gt;"OK",COUNT('Section B Cantilever Beam Check'!$G$16)&lt;&gt;1,'Section B Cantilever Beam Check'!$G$16&lt;0),"",IF(AV4='Section B Cantilever Beam Check'!$G$16,'Section B Cantilever Beam Check'!$G$16,IF(AV4+$AW$2&gt;$AC$15,'Section B Cantilever Beam Check'!$G$16,AV4+$AW$2)))</f>
        <v/>
      </c>
      <c r="AW5" s="70"/>
      <c r="AX5" s="70" t="str">
        <f>IF(OR('_CB Analysis'!$I$25&lt;&gt;"OK",COUNT('Section B Cantilever Beam Check'!$G$16)&lt;&gt;1,'Section B Cantilever Beam Check'!$G$16&lt;0),"",IF(AY5&lt;&gt;'Section B Cantilever Beam Check'!$G$16,$AX$2,'Section B Cantilever Beam Check'!$G$16))</f>
        <v/>
      </c>
      <c r="AY5" s="70" t="str">
        <f>IF(OR('_CB Analysis'!$I$25&lt;&gt;"OK",COUNT('Section B Cantilever Beam Check'!$G$16)&lt;&gt;1,'Section B Cantilever Beam Check'!$G$16&lt;0),"",IF(AY4='Section B Cantilever Beam Check'!$G$16,'Section B Cantilever Beam Check'!$G$16,IF(AY4+$AZ$2&gt;$AC$15,'Section B Cantilever Beam Check'!$G$16,AY4+$AZ$2)))</f>
        <v/>
      </c>
      <c r="AZ5" s="70"/>
      <c r="BA5" s="70" t="str">
        <f>IF(OR('_CB Analysis'!$I$25&lt;&gt;"OK",COUNT('Section B Cantilever Beam Check'!$G$16)&lt;&gt;1,'Section B Cantilever Beam Check'!$G$16&lt;0),"",IF(BB5&lt;&gt;'Section B Cantilever Beam Check'!$G$16,$BA$2,'Section B Cantilever Beam Check'!$G$16))</f>
        <v/>
      </c>
      <c r="BB5" s="70" t="str">
        <f>IF(OR('_CB Analysis'!$I$25&lt;&gt;"OK",COUNT('Section B Cantilever Beam Check'!$G$16)&lt;&gt;1,'Section B Cantilever Beam Check'!$G$16&lt;0),"",IF(BB4='Section B Cantilever Beam Check'!$G$16,'Section B Cantilever Beam Check'!$G$16,IF(BB4+$BC$2&gt;$AC$15,'Section B Cantilever Beam Check'!$G$16,BB4+$BC$2)))</f>
        <v/>
      </c>
      <c r="BC5" s="73"/>
      <c r="BD5" s="269" t="str">
        <f>IF(OR('_CB Analysis'!$I$25&lt;&gt;"OK",COUNT('Section B Cantilever Beam Check'!$G$16)&lt;&gt;1,'Section B Cantilever Beam Check'!$G$16&lt;0),"",IF(BE5&lt;&gt;'Section B Cantilever Beam Check'!$G$16,$BD$2,'Section B Cantilever Beam Check'!$G$16))</f>
        <v/>
      </c>
      <c r="BE5" s="70" t="str">
        <f>IF(OR('_CB Analysis'!$I$25&lt;&gt;"OK",COUNT('Section B Cantilever Beam Check'!$G$16)&lt;&gt;1,'Section B Cantilever Beam Check'!$G$16&lt;0),"",IF(BE4='Section B Cantilever Beam Check'!$G$16,'Section B Cantilever Beam Check'!$G$16,IF(BE4+$BF$2&gt;$AC$15,'Section B Cantilever Beam Check'!$G$16,BE4+$BF$2)))</f>
        <v/>
      </c>
      <c r="BF5" s="70"/>
      <c r="BG5" s="70" t="str">
        <f>IF(OR('_CB Analysis'!$I$25&lt;&gt;"OK",COUNT('Section B Cantilever Beam Check'!$G$16)&lt;&gt;1,'Section B Cantilever Beam Check'!$G$16&lt;0),"",IF(BH5&lt;&gt;'Section B Cantilever Beam Check'!$G$16,$BG$2,'Section B Cantilever Beam Check'!$G$16))</f>
        <v/>
      </c>
      <c r="BH5" s="70" t="str">
        <f>IF(OR('_CB Analysis'!$I$25&lt;&gt;"OK",COUNT('Section B Cantilever Beam Check'!$G$16)&lt;&gt;1,'Section B Cantilever Beam Check'!$G$16&lt;0),"",IF(BH4='Section B Cantilever Beam Check'!$G$16,'Section B Cantilever Beam Check'!$G$16,IF(BH4+$BI$2&gt;$AC$15,'Section B Cantilever Beam Check'!$G$16,BH4+$BI$2)))</f>
        <v/>
      </c>
      <c r="BI5" s="70"/>
      <c r="BJ5" s="70" t="str">
        <f>IF(OR('_CB Analysis'!$I$25&lt;&gt;"OK",COUNT('Section B Cantilever Beam Check'!$G$16)&lt;&gt;1,'Section B Cantilever Beam Check'!$G$16&lt;0),"",IF(BK5&lt;&gt;'Section B Cantilever Beam Check'!$G$16,$BJ$2,'Section B Cantilever Beam Check'!$G$16))</f>
        <v/>
      </c>
      <c r="BK5" s="70" t="str">
        <f>IF(OR('_CB Analysis'!$I$25&lt;&gt;"OK",COUNT('Section B Cantilever Beam Check'!$G$16)&lt;&gt;1,'Section B Cantilever Beam Check'!$G$16&lt;0),"",IF(BK4='Section B Cantilever Beam Check'!$G$16,'Section B Cantilever Beam Check'!$G$16,IF(BK4+$BL$2&gt;$AC$15,'Section B Cantilever Beam Check'!$G$16,BK4+$BL$2)))</f>
        <v/>
      </c>
      <c r="BL5" s="70"/>
      <c r="BM5" s="70" t="str">
        <f>IF(OR('_CB Analysis'!$I$25&lt;&gt;"OK",COUNT('Section B Cantilever Beam Check'!$G$16)&lt;&gt;1,'Section B Cantilever Beam Check'!$G$16&lt;0),"",IF(BN5&lt;&gt;'Section B Cantilever Beam Check'!$G$16,$BM$2,'Section B Cantilever Beam Check'!$G$16))</f>
        <v/>
      </c>
      <c r="BN5" s="70" t="str">
        <f>IF(OR('_CB Analysis'!$I$25&lt;&gt;"OK",COUNT('Section B Cantilever Beam Check'!$G$16)&lt;&gt;1,'Section B Cantilever Beam Check'!$G$16&lt;0),"",IF(BN4='Section B Cantilever Beam Check'!$G$16,'Section B Cantilever Beam Check'!$G$16,IF(BN4+$BO$2&gt;$AC$15,'Section B Cantilever Beam Check'!$G$16,BN4+$BO$2)))</f>
        <v/>
      </c>
      <c r="BO5" s="73"/>
      <c r="BP5" s="70"/>
      <c r="BQ5" s="70"/>
    </row>
    <row r="6" spans="15:69">
      <c r="P6" s="70"/>
      <c r="Q6" s="70"/>
      <c r="Y6" s="70"/>
      <c r="Z6" s="70"/>
      <c r="AA6" s="70" t="str">
        <f>IF(OR('_CB Analysis'!$I$25&lt;&gt;"OK",COUNT('Section B Cantilever Beam Check'!$G$16)&lt;&gt;1,'Section B Cantilever Beam Check'!$G$16&lt;0),"",Z4)</f>
        <v/>
      </c>
      <c r="AB6" s="70" t="str">
        <f>IF(OR('_CB Analysis'!$I$25&lt;&gt;"OK",COUNT('Section B Cantilever Beam Check'!$G$16)&lt;&gt;1,'Section B Cantilever Beam Check'!$G$16&lt;0),"",Y4)</f>
        <v/>
      </c>
      <c r="AC6" s="70" t="str">
        <f>IF(OR('_CB Analysis'!$I$25&lt;&gt;"OK",COUNT('Section B Cantilever Beam Check'!$G$16)&lt;&gt;1,'Section B Cantilever Beam Check'!$G$16&lt;0),"",IF('Section B Cantilever Beam Check'!C42=0,"",'Section B Cantilever Beam Check'!C42&amp;"T"&amp;'Section B Cantilever Beam Check'!D42))</f>
        <v/>
      </c>
      <c r="AD6" s="70" t="str">
        <f>IF(OR('_CB Analysis'!$I$25&lt;&gt;"OK",COUNT('Section B Cantilever Beam Check'!$G$16)&lt;&gt;1,'Section B Cantilever Beam Check'!$G$16&lt;0),"",AX2)</f>
        <v/>
      </c>
      <c r="AE6" s="70" t="str">
        <f>IF(OR('_CB Analysis'!$I$25&lt;&gt;"OK",COUNT('Section B Cantilever Beam Check'!$G$16)&lt;&gt;1,'Section B Cantilever Beam Check'!$G$16&lt;0),"",AD6)</f>
        <v/>
      </c>
      <c r="AF6" s="70"/>
      <c r="AG6" s="70"/>
      <c r="AH6" s="70" t="str">
        <f>IF(OR('_CB Analysis'!$I$25&lt;&gt;"OK",COUNT('Section B Cantilever Beam Check'!$G$16)&lt;&gt;1,'Section B Cantilever Beam Check'!$G$16&lt;0),"",IF('Section B Cantilever Beam Check'!C46=0,"",'Section B Cantilever Beam Check'!C46&amp;"T"&amp;'Section B Cantilever Beam Check'!D46))</f>
        <v/>
      </c>
      <c r="AI6" s="70" t="str">
        <f>IF(OR('_CB Analysis'!$I$25&lt;&gt;"OK",COUNT('Section B Cantilever Beam Check'!$G$16)&lt;&gt;1,'Section B Cantilever Beam Check'!$G$16&lt;0),"",BJ2)</f>
        <v/>
      </c>
      <c r="AJ6" s="70" t="str">
        <f>IF(OR('_CB Analysis'!$I$25&lt;&gt;"OK",COUNT('Section B Cantilever Beam Check'!$G$16)&lt;&gt;1,'Section B Cantilever Beam Check'!$G$16&lt;0),"",AI6)</f>
        <v/>
      </c>
      <c r="AK6" s="74">
        <v>0</v>
      </c>
      <c r="AL6" s="70" t="str">
        <f>IF(OR('_CB Analysis'!$I$25&lt;&gt;"OK",COUNT('Section B Cantilever Beam Check'!$G$16)&lt;&gt;1,'Section B Cantilever Beam Check'!$G$16&lt;0),"",'Section B Cantilever Beam Check'!G16)</f>
        <v/>
      </c>
      <c r="AM6" s="70" t="str">
        <f>IF(OR('_CB Analysis'!$I$25&lt;&gt;"OK",COUNT('Section B Cantilever Beam Check'!$G$16)&lt;&gt;1,'Section B Cantilever Beam Check'!$G$16&lt;0),"",MAX(BD16,BG16,BJ16,BM16))</f>
        <v/>
      </c>
      <c r="AN6" s="73" t="str">
        <f>IF(OR('_CB Analysis'!$I$25&lt;&gt;"OK",COUNT('Section B Cantilever Beam Check'!$G$16)&lt;&gt;1,'Section B Cantilever Beam Check'!$G$16&lt;0),"",$AC$15)</f>
        <v/>
      </c>
      <c r="AO6" s="70"/>
      <c r="AP6" s="70"/>
      <c r="AQ6" s="70"/>
      <c r="AR6" s="269" t="str">
        <f>IF(OR('_CB Analysis'!$I$25&lt;&gt;"OK",COUNT('Section B Cantilever Beam Check'!$G$16)&lt;&gt;1,'Section B Cantilever Beam Check'!$G$16&lt;0),"",IF(AS6&lt;&gt;'Section B Cantilever Beam Check'!$G$16,$AR$2,'Section B Cantilever Beam Check'!$G$16))</f>
        <v/>
      </c>
      <c r="AS6" s="70" t="str">
        <f>IF(OR('_CB Analysis'!$I$25&lt;&gt;"OK",COUNT('Section B Cantilever Beam Check'!$G$16)&lt;&gt;1,'Section B Cantilever Beam Check'!$G$16&lt;0),"",IF(AS5='Section B Cantilever Beam Check'!$G$16,'Section B Cantilever Beam Check'!$G$16,IF(AS5+$AT$2&gt;$AC$15,'Section B Cantilever Beam Check'!$G$16,AS5+$AT$2)))</f>
        <v/>
      </c>
      <c r="AT6" s="70"/>
      <c r="AU6" s="70" t="str">
        <f>IF(OR('_CB Analysis'!$I$25&lt;&gt;"OK",COUNT('Section B Cantilever Beam Check'!$G$16)&lt;&gt;1,'Section B Cantilever Beam Check'!$G$16&lt;0),"",IF(AV6&lt;&gt;'Section B Cantilever Beam Check'!$G$16,$AU$2,'Section B Cantilever Beam Check'!$G$16))</f>
        <v/>
      </c>
      <c r="AV6" s="70" t="str">
        <f>IF(OR('_CB Analysis'!$I$25&lt;&gt;"OK",COUNT('Section B Cantilever Beam Check'!$G$16)&lt;&gt;1,'Section B Cantilever Beam Check'!$G$16&lt;0),"",IF(AV5='Section B Cantilever Beam Check'!$G$16,'Section B Cantilever Beam Check'!$G$16,IF(AV5+$AW$2&gt;$AC$15,'Section B Cantilever Beam Check'!$G$16,AV5+$AW$2)))</f>
        <v/>
      </c>
      <c r="AW6" s="70"/>
      <c r="AX6" s="70" t="str">
        <f>IF(OR('_CB Analysis'!$I$25&lt;&gt;"OK",COUNT('Section B Cantilever Beam Check'!$G$16)&lt;&gt;1,'Section B Cantilever Beam Check'!$G$16&lt;0),"",IF(AY6&lt;&gt;'Section B Cantilever Beam Check'!$G$16,$AX$2,'Section B Cantilever Beam Check'!$G$16))</f>
        <v/>
      </c>
      <c r="AY6" s="70" t="str">
        <f>IF(OR('_CB Analysis'!$I$25&lt;&gt;"OK",COUNT('Section B Cantilever Beam Check'!$G$16)&lt;&gt;1,'Section B Cantilever Beam Check'!$G$16&lt;0),"",IF(AY5='Section B Cantilever Beam Check'!$G$16,'Section B Cantilever Beam Check'!$G$16,IF(AY5+$AZ$2&gt;$AC$15,'Section B Cantilever Beam Check'!$G$16,AY5+$AZ$2)))</f>
        <v/>
      </c>
      <c r="AZ6" s="70"/>
      <c r="BA6" s="70" t="str">
        <f>IF(OR('_CB Analysis'!$I$25&lt;&gt;"OK",COUNT('Section B Cantilever Beam Check'!$G$16)&lt;&gt;1,'Section B Cantilever Beam Check'!$G$16&lt;0),"",IF(BB6&lt;&gt;'Section B Cantilever Beam Check'!$G$16,$BA$2,'Section B Cantilever Beam Check'!$G$16))</f>
        <v/>
      </c>
      <c r="BB6" s="70" t="str">
        <f>IF(OR('_CB Analysis'!$I$25&lt;&gt;"OK",COUNT('Section B Cantilever Beam Check'!$G$16)&lt;&gt;1,'Section B Cantilever Beam Check'!$G$16&lt;0),"",IF(BB5='Section B Cantilever Beam Check'!$G$16,'Section B Cantilever Beam Check'!$G$16,IF(BB5+$BC$2&gt;$AC$15,'Section B Cantilever Beam Check'!$G$16,BB5+$BC$2)))</f>
        <v/>
      </c>
      <c r="BC6" s="73"/>
      <c r="BD6" s="269" t="str">
        <f>IF(OR('_CB Analysis'!$I$25&lt;&gt;"OK",COUNT('Section B Cantilever Beam Check'!$G$16)&lt;&gt;1,'Section B Cantilever Beam Check'!$G$16&lt;0),"",IF(BE6&lt;&gt;'Section B Cantilever Beam Check'!$G$16,$BD$2,'Section B Cantilever Beam Check'!$G$16))</f>
        <v/>
      </c>
      <c r="BE6" s="70" t="str">
        <f>IF(OR('_CB Analysis'!$I$25&lt;&gt;"OK",COUNT('Section B Cantilever Beam Check'!$G$16)&lt;&gt;1,'Section B Cantilever Beam Check'!$G$16&lt;0),"",IF(BE5='Section B Cantilever Beam Check'!$G$16,'Section B Cantilever Beam Check'!$G$16,IF(BE5+$BF$2&gt;$AC$15,'Section B Cantilever Beam Check'!$G$16,BE5+$BF$2)))</f>
        <v/>
      </c>
      <c r="BF6" s="70"/>
      <c r="BG6" s="70" t="str">
        <f>IF(OR('_CB Analysis'!$I$25&lt;&gt;"OK",COUNT('Section B Cantilever Beam Check'!$G$16)&lt;&gt;1,'Section B Cantilever Beam Check'!$G$16&lt;0),"",IF(BH6&lt;&gt;'Section B Cantilever Beam Check'!$G$16,$BG$2,'Section B Cantilever Beam Check'!$G$16))</f>
        <v/>
      </c>
      <c r="BH6" s="70" t="str">
        <f>IF(OR('_CB Analysis'!$I$25&lt;&gt;"OK",COUNT('Section B Cantilever Beam Check'!$G$16)&lt;&gt;1,'Section B Cantilever Beam Check'!$G$16&lt;0),"",IF(BH5='Section B Cantilever Beam Check'!$G$16,'Section B Cantilever Beam Check'!$G$16,IF(BH5+$BI$2&gt;$AC$15,'Section B Cantilever Beam Check'!$G$16,BH5+$BI$2)))</f>
        <v/>
      </c>
      <c r="BI6" s="70"/>
      <c r="BJ6" s="70" t="str">
        <f>IF(OR('_CB Analysis'!$I$25&lt;&gt;"OK",COUNT('Section B Cantilever Beam Check'!$G$16)&lt;&gt;1,'Section B Cantilever Beam Check'!$G$16&lt;0),"",IF(BK6&lt;&gt;'Section B Cantilever Beam Check'!$G$16,$BJ$2,'Section B Cantilever Beam Check'!$G$16))</f>
        <v/>
      </c>
      <c r="BK6" s="70" t="str">
        <f>IF(OR('_CB Analysis'!$I$25&lt;&gt;"OK",COUNT('Section B Cantilever Beam Check'!$G$16)&lt;&gt;1,'Section B Cantilever Beam Check'!$G$16&lt;0),"",IF(BK5='Section B Cantilever Beam Check'!$G$16,'Section B Cantilever Beam Check'!$G$16,IF(BK5+$BL$2&gt;$AC$15,'Section B Cantilever Beam Check'!$G$16,BK5+$BL$2)))</f>
        <v/>
      </c>
      <c r="BL6" s="70"/>
      <c r="BM6" s="70" t="str">
        <f>IF(OR('_CB Analysis'!$I$25&lt;&gt;"OK",COUNT('Section B Cantilever Beam Check'!$G$16)&lt;&gt;1,'Section B Cantilever Beam Check'!$G$16&lt;0),"",IF(BN6&lt;&gt;'Section B Cantilever Beam Check'!$G$16,$BM$2,'Section B Cantilever Beam Check'!$G$16))</f>
        <v/>
      </c>
      <c r="BN6" s="70" t="str">
        <f>IF(OR('_CB Analysis'!$I$25&lt;&gt;"OK",COUNT('Section B Cantilever Beam Check'!$G$16)&lt;&gt;1,'Section B Cantilever Beam Check'!$G$16&lt;0),"",IF(BN5='Section B Cantilever Beam Check'!$G$16,'Section B Cantilever Beam Check'!$G$16,IF(BN5+$BO$2&gt;$AC$15,'Section B Cantilever Beam Check'!$G$16,BN5+$BO$2)))</f>
        <v/>
      </c>
      <c r="BO6" s="73"/>
      <c r="BP6" s="70"/>
      <c r="BQ6" s="70"/>
    </row>
    <row r="7" spans="15:69">
      <c r="P7" s="70"/>
      <c r="Q7" s="70"/>
      <c r="Y7" s="70"/>
      <c r="Z7" s="70"/>
      <c r="AA7" s="70" t="str">
        <f>IF(OR('_CB Analysis'!$I$25&lt;&gt;"OK",COUNT('Section B Cantilever Beam Check'!$G$16)&lt;&gt;1,'Section B Cantilever Beam Check'!$G$16&lt;0),"",Z4)</f>
        <v/>
      </c>
      <c r="AB7" s="70">
        <v>0</v>
      </c>
      <c r="AC7" s="70" t="str">
        <f>IF(OR('_CB Analysis'!$I$25&lt;&gt;"OK",COUNT('Section B Cantilever Beam Check'!$G$16)&lt;&gt;1,'Section B Cantilever Beam Check'!$G$16&lt;0),"",IF('Section B Cantilever Beam Check'!C43=0,"",'Section B Cantilever Beam Check'!C43&amp;"T"&amp;'Section B Cantilever Beam Check'!D43))</f>
        <v/>
      </c>
      <c r="AD7" s="70" t="str">
        <f>IF(OR('_CB Analysis'!$I$25&lt;&gt;"OK",COUNT('Section B Cantilever Beam Check'!$G$16)&lt;&gt;1,'Section B Cantilever Beam Check'!$G$16&lt;0),"",BA2)</f>
        <v/>
      </c>
      <c r="AE7" s="70" t="str">
        <f>IF(OR('_CB Analysis'!$I$25&lt;&gt;"OK",COUNT('Section B Cantilever Beam Check'!$G$16)&lt;&gt;1,'Section B Cantilever Beam Check'!$G$16&lt;0),"",AD7)</f>
        <v/>
      </c>
      <c r="AF7" s="70"/>
      <c r="AG7" s="70"/>
      <c r="AH7" s="70" t="str">
        <f>IF(OR('_CB Analysis'!$I$25&lt;&gt;"OK",COUNT('Section B Cantilever Beam Check'!$G$16)&lt;&gt;1,'Section B Cantilever Beam Check'!$G$16&lt;0),"",IF('Section B Cantilever Beam Check'!C47=0,"",'Section B Cantilever Beam Check'!C47&amp;"T"&amp;'Section B Cantilever Beam Check'!D47))</f>
        <v/>
      </c>
      <c r="AI7" s="70" t="str">
        <f>IF(OR('_CB Analysis'!$I$25&lt;&gt;"OK",COUNT('Section B Cantilever Beam Check'!$G$16)&lt;&gt;1,'Section B Cantilever Beam Check'!$G$16&lt;0),"",BM2)</f>
        <v/>
      </c>
      <c r="AJ7" s="70" t="str">
        <f>IF(OR('_CB Analysis'!$I$25&lt;&gt;"OK",COUNT('Section B Cantilever Beam Check'!$G$16)&lt;&gt;1,'Section B Cantilever Beam Check'!$G$16&lt;0),"",AI7)</f>
        <v/>
      </c>
      <c r="AK7" s="74">
        <v>1</v>
      </c>
      <c r="AL7" s="70" t="str">
        <f>IF(OR('_CB Analysis'!$I$25&lt;&gt;"OK",COUNT('Section B Cantilever Beam Check'!$G$16)&lt;&gt;1,'Section B Cantilever Beam Check'!$G$16&lt;0),"",AL6)</f>
        <v/>
      </c>
      <c r="AM7" s="70" t="str">
        <f>IF(OR('_CB Analysis'!$I$25&lt;&gt;"OK",COUNT('Section B Cantilever Beam Check'!$G$16)&lt;&gt;1,'Section B Cantilever Beam Check'!$G$16&lt;0),"",IF($AL$3="",$AM$6,IF(AM6+$AL$3&gt;$AM$2,$AM$6,AM6+$AL$3)))</f>
        <v/>
      </c>
      <c r="AN7" s="73" t="str">
        <f>IF(OR('_CB Analysis'!$I$25&lt;&gt;"OK",COUNT('Section B Cantilever Beam Check'!$G$16)&lt;&gt;1,'Section B Cantilever Beam Check'!$G$16&lt;0),"",$AC$15)</f>
        <v/>
      </c>
      <c r="AO7" s="70"/>
      <c r="AP7" s="70"/>
      <c r="AQ7" s="70"/>
      <c r="AR7" s="269" t="str">
        <f>IF(OR('_CB Analysis'!$I$25&lt;&gt;"OK",COUNT('Section B Cantilever Beam Check'!$G$16)&lt;&gt;1,'Section B Cantilever Beam Check'!$G$16&lt;0),"",IF(AS7&lt;&gt;'Section B Cantilever Beam Check'!$G$16,$AR$2,'Section B Cantilever Beam Check'!$G$16))</f>
        <v/>
      </c>
      <c r="AS7" s="70" t="str">
        <f>IF(OR('_CB Analysis'!$I$25&lt;&gt;"OK",COUNT('Section B Cantilever Beam Check'!$G$16)&lt;&gt;1,'Section B Cantilever Beam Check'!$G$16&lt;0),"",IF(AS6='Section B Cantilever Beam Check'!$G$16,'Section B Cantilever Beam Check'!$G$16,IF(AS6+$AT$2&gt;$AC$15,'Section B Cantilever Beam Check'!$G$16,AS6+$AT$2)))</f>
        <v/>
      </c>
      <c r="AT7" s="70"/>
      <c r="AU7" s="70" t="str">
        <f>IF(OR('_CB Analysis'!$I$25&lt;&gt;"OK",COUNT('Section B Cantilever Beam Check'!$G$16)&lt;&gt;1,'Section B Cantilever Beam Check'!$G$16&lt;0),"",IF(AV7&lt;&gt;'Section B Cantilever Beam Check'!$G$16,$AU$2,'Section B Cantilever Beam Check'!$G$16))</f>
        <v/>
      </c>
      <c r="AV7" s="70" t="str">
        <f>IF(OR('_CB Analysis'!$I$25&lt;&gt;"OK",COUNT('Section B Cantilever Beam Check'!$G$16)&lt;&gt;1,'Section B Cantilever Beam Check'!$G$16&lt;0),"",IF(AV6='Section B Cantilever Beam Check'!$G$16,'Section B Cantilever Beam Check'!$G$16,IF(AV6+$AW$2&gt;$AC$15,'Section B Cantilever Beam Check'!$G$16,AV6+$AW$2)))</f>
        <v/>
      </c>
      <c r="AW7" s="70"/>
      <c r="AX7" s="70" t="str">
        <f>IF(OR('_CB Analysis'!$I$25&lt;&gt;"OK",COUNT('Section B Cantilever Beam Check'!$G$16)&lt;&gt;1,'Section B Cantilever Beam Check'!$G$16&lt;0),"",IF(AY7&lt;&gt;'Section B Cantilever Beam Check'!$G$16,$AX$2,'Section B Cantilever Beam Check'!$G$16))</f>
        <v/>
      </c>
      <c r="AY7" s="70" t="str">
        <f>IF(OR('_CB Analysis'!$I$25&lt;&gt;"OK",COUNT('Section B Cantilever Beam Check'!$G$16)&lt;&gt;1,'Section B Cantilever Beam Check'!$G$16&lt;0),"",IF(AY6='Section B Cantilever Beam Check'!$G$16,'Section B Cantilever Beam Check'!$G$16,IF(AY6+$AZ$2&gt;$AC$15,'Section B Cantilever Beam Check'!$G$16,AY6+$AZ$2)))</f>
        <v/>
      </c>
      <c r="AZ7" s="70"/>
      <c r="BA7" s="70" t="str">
        <f>IF(OR('_CB Analysis'!$I$25&lt;&gt;"OK",COUNT('Section B Cantilever Beam Check'!$G$16)&lt;&gt;1,'Section B Cantilever Beam Check'!$G$16&lt;0),"",IF(BB7&lt;&gt;'Section B Cantilever Beam Check'!$G$16,$BA$2,'Section B Cantilever Beam Check'!$G$16))</f>
        <v/>
      </c>
      <c r="BB7" s="70" t="str">
        <f>IF(OR('_CB Analysis'!$I$25&lt;&gt;"OK",COUNT('Section B Cantilever Beam Check'!$G$16)&lt;&gt;1,'Section B Cantilever Beam Check'!$G$16&lt;0),"",IF(BB6='Section B Cantilever Beam Check'!$G$16,'Section B Cantilever Beam Check'!$G$16,IF(BB6+$BC$2&gt;$AC$15,'Section B Cantilever Beam Check'!$G$16,BB6+$BC$2)))</f>
        <v/>
      </c>
      <c r="BC7" s="73"/>
      <c r="BD7" s="269" t="str">
        <f>IF(OR('_CB Analysis'!$I$25&lt;&gt;"OK",COUNT('Section B Cantilever Beam Check'!$G$16)&lt;&gt;1,'Section B Cantilever Beam Check'!$G$16&lt;0),"",IF(BE7&lt;&gt;'Section B Cantilever Beam Check'!$G$16,$BD$2,'Section B Cantilever Beam Check'!$G$16))</f>
        <v/>
      </c>
      <c r="BE7" s="70" t="str">
        <f>IF(OR('_CB Analysis'!$I$25&lt;&gt;"OK",COUNT('Section B Cantilever Beam Check'!$G$16)&lt;&gt;1,'Section B Cantilever Beam Check'!$G$16&lt;0),"",IF(BE6='Section B Cantilever Beam Check'!$G$16,'Section B Cantilever Beam Check'!$G$16,IF(BE6+$BF$2&gt;$AC$15,'Section B Cantilever Beam Check'!$G$16,BE6+$BF$2)))</f>
        <v/>
      </c>
      <c r="BF7" s="70"/>
      <c r="BG7" s="70" t="str">
        <f>IF(OR('_CB Analysis'!$I$25&lt;&gt;"OK",COUNT('Section B Cantilever Beam Check'!$G$16)&lt;&gt;1,'Section B Cantilever Beam Check'!$G$16&lt;0),"",IF(BH7&lt;&gt;'Section B Cantilever Beam Check'!$G$16,$BG$2,'Section B Cantilever Beam Check'!$G$16))</f>
        <v/>
      </c>
      <c r="BH7" s="70" t="str">
        <f>IF(OR('_CB Analysis'!$I$25&lt;&gt;"OK",COUNT('Section B Cantilever Beam Check'!$G$16)&lt;&gt;1,'Section B Cantilever Beam Check'!$G$16&lt;0),"",IF(BH6='Section B Cantilever Beam Check'!$G$16,'Section B Cantilever Beam Check'!$G$16,IF(BH6+$BI$2&gt;$AC$15,'Section B Cantilever Beam Check'!$G$16,BH6+$BI$2)))</f>
        <v/>
      </c>
      <c r="BI7" s="70"/>
      <c r="BJ7" s="70" t="str">
        <f>IF(OR('_CB Analysis'!$I$25&lt;&gt;"OK",COUNT('Section B Cantilever Beam Check'!$G$16)&lt;&gt;1,'Section B Cantilever Beam Check'!$G$16&lt;0),"",IF(BK7&lt;&gt;'Section B Cantilever Beam Check'!$G$16,$BJ$2,'Section B Cantilever Beam Check'!$G$16))</f>
        <v/>
      </c>
      <c r="BK7" s="70" t="str">
        <f>IF(OR('_CB Analysis'!$I$25&lt;&gt;"OK",COUNT('Section B Cantilever Beam Check'!$G$16)&lt;&gt;1,'Section B Cantilever Beam Check'!$G$16&lt;0),"",IF(BK6='Section B Cantilever Beam Check'!$G$16,'Section B Cantilever Beam Check'!$G$16,IF(BK6+$BL$2&gt;$AC$15,'Section B Cantilever Beam Check'!$G$16,BK6+$BL$2)))</f>
        <v/>
      </c>
      <c r="BL7" s="70"/>
      <c r="BM7" s="70" t="str">
        <f>IF(OR('_CB Analysis'!$I$25&lt;&gt;"OK",COUNT('Section B Cantilever Beam Check'!$G$16)&lt;&gt;1,'Section B Cantilever Beam Check'!$G$16&lt;0),"",IF(BN7&lt;&gt;'Section B Cantilever Beam Check'!$G$16,$BM$2,'Section B Cantilever Beam Check'!$G$16))</f>
        <v/>
      </c>
      <c r="BN7" s="70" t="str">
        <f>IF(OR('_CB Analysis'!$I$25&lt;&gt;"OK",COUNT('Section B Cantilever Beam Check'!$G$16)&lt;&gt;1,'Section B Cantilever Beam Check'!$G$16&lt;0),"",IF(BN6='Section B Cantilever Beam Check'!$G$16,'Section B Cantilever Beam Check'!$G$16,IF(BN6+$BO$2&gt;$AC$15,'Section B Cantilever Beam Check'!$G$16,BN6+$BO$2)))</f>
        <v/>
      </c>
      <c r="BO7" s="73"/>
      <c r="BP7" s="70"/>
      <c r="BQ7" s="70"/>
    </row>
    <row r="8" spans="15:69">
      <c r="P8" s="76"/>
      <c r="Q8" s="76"/>
      <c r="Y8" s="70"/>
      <c r="Z8" s="70"/>
      <c r="AA8" s="70">
        <v>0</v>
      </c>
      <c r="AB8" s="70">
        <v>0</v>
      </c>
      <c r="AC8" s="70"/>
      <c r="AD8" s="70"/>
      <c r="AE8" s="70"/>
      <c r="AF8" s="70"/>
      <c r="AG8" s="70"/>
      <c r="AH8" s="70"/>
      <c r="AI8" s="70"/>
      <c r="AJ8" s="70"/>
      <c r="AK8" s="74">
        <v>2</v>
      </c>
      <c r="AL8" s="70" t="str">
        <f>IF(OR('_CB Analysis'!$I$25&lt;&gt;"OK",COUNT('Section B Cantilever Beam Check'!$G$16)&lt;&gt;1,'Section B Cantilever Beam Check'!$G$16&lt;0),"",AL7)</f>
        <v/>
      </c>
      <c r="AM8" s="70" t="str">
        <f>IF(OR('_CB Analysis'!$I$25&lt;&gt;"OK",COUNT('Section B Cantilever Beam Check'!$G$16)&lt;&gt;1,'Section B Cantilever Beam Check'!$G$16&lt;0),"",IF($AL$3="",$AM$6,IF(AM7+$AL$3&gt;$AM$2,$AM$6,AM7+$AL$3)))</f>
        <v/>
      </c>
      <c r="AN8" s="73" t="str">
        <f>IF(OR('_CB Analysis'!$I$25&lt;&gt;"OK",COUNT('Section B Cantilever Beam Check'!$G$16)&lt;&gt;1,'Section B Cantilever Beam Check'!$G$16&lt;0),"",$AC$15)</f>
        <v/>
      </c>
      <c r="AO8" s="70"/>
      <c r="AP8" s="76"/>
      <c r="AQ8" s="76"/>
      <c r="AR8" s="269" t="str">
        <f>IF(OR('_CB Analysis'!$I$25&lt;&gt;"OK",COUNT('Section B Cantilever Beam Check'!$G$16)&lt;&gt;1,'Section B Cantilever Beam Check'!$G$16&lt;0),"",IF(AS8&lt;&gt;'Section B Cantilever Beam Check'!$G$16,$AR$2,'Section B Cantilever Beam Check'!$G$16))</f>
        <v/>
      </c>
      <c r="AS8" s="70" t="str">
        <f>IF(OR('_CB Analysis'!$I$25&lt;&gt;"OK",COUNT('Section B Cantilever Beam Check'!$G$16)&lt;&gt;1,'Section B Cantilever Beam Check'!$G$16&lt;0),"",IF(AS7='Section B Cantilever Beam Check'!$G$16,'Section B Cantilever Beam Check'!$G$16,IF(AS7+$AT$2&gt;$AC$15,'Section B Cantilever Beam Check'!$G$16,AS7+$AT$2)))</f>
        <v/>
      </c>
      <c r="AT8" s="70"/>
      <c r="AU8" s="70" t="str">
        <f>IF(OR('_CB Analysis'!$I$25&lt;&gt;"OK",COUNT('Section B Cantilever Beam Check'!$G$16)&lt;&gt;1,'Section B Cantilever Beam Check'!$G$16&lt;0),"",IF(AV8&lt;&gt;'Section B Cantilever Beam Check'!$G$16,$AU$2,'Section B Cantilever Beam Check'!$G$16))</f>
        <v/>
      </c>
      <c r="AV8" s="70" t="str">
        <f>IF(OR('_CB Analysis'!$I$25&lt;&gt;"OK",COUNT('Section B Cantilever Beam Check'!$G$16)&lt;&gt;1,'Section B Cantilever Beam Check'!$G$16&lt;0),"",IF(AV7='Section B Cantilever Beam Check'!$G$16,'Section B Cantilever Beam Check'!$G$16,IF(AV7+$AW$2&gt;$AC$15,'Section B Cantilever Beam Check'!$G$16,AV7+$AW$2)))</f>
        <v/>
      </c>
      <c r="AW8" s="70"/>
      <c r="AX8" s="70" t="str">
        <f>IF(OR('_CB Analysis'!$I$25&lt;&gt;"OK",COUNT('Section B Cantilever Beam Check'!$G$16)&lt;&gt;1,'Section B Cantilever Beam Check'!$G$16&lt;0),"",IF(AY8&lt;&gt;'Section B Cantilever Beam Check'!$G$16,$AX$2,'Section B Cantilever Beam Check'!$G$16))</f>
        <v/>
      </c>
      <c r="AY8" s="70" t="str">
        <f>IF(OR('_CB Analysis'!$I$25&lt;&gt;"OK",COUNT('Section B Cantilever Beam Check'!$G$16)&lt;&gt;1,'Section B Cantilever Beam Check'!$G$16&lt;0),"",IF(AY7='Section B Cantilever Beam Check'!$G$16,'Section B Cantilever Beam Check'!$G$16,IF(AY7+$AZ$2&gt;$AC$15,'Section B Cantilever Beam Check'!$G$16,AY7+$AZ$2)))</f>
        <v/>
      </c>
      <c r="AZ8" s="70"/>
      <c r="BA8" s="70" t="str">
        <f>IF(OR('_CB Analysis'!$I$25&lt;&gt;"OK",COUNT('Section B Cantilever Beam Check'!$G$16)&lt;&gt;1,'Section B Cantilever Beam Check'!$G$16&lt;0),"",IF(BB8&lt;&gt;'Section B Cantilever Beam Check'!$G$16,$BA$2,'Section B Cantilever Beam Check'!$G$16))</f>
        <v/>
      </c>
      <c r="BB8" s="70" t="str">
        <f>IF(OR('_CB Analysis'!$I$25&lt;&gt;"OK",COUNT('Section B Cantilever Beam Check'!$G$16)&lt;&gt;1,'Section B Cantilever Beam Check'!$G$16&lt;0),"",IF(BB7='Section B Cantilever Beam Check'!$G$16,'Section B Cantilever Beam Check'!$G$16,IF(BB7+$BC$2&gt;$AC$15,'Section B Cantilever Beam Check'!$G$16,BB7+$BC$2)))</f>
        <v/>
      </c>
      <c r="BC8" s="73"/>
      <c r="BD8" s="269" t="str">
        <f>IF(OR('_CB Analysis'!$I$25&lt;&gt;"OK",COUNT('Section B Cantilever Beam Check'!$G$16)&lt;&gt;1,'Section B Cantilever Beam Check'!$G$16&lt;0),"",IF(BE8&lt;&gt;'Section B Cantilever Beam Check'!$G$16,$BD$2,'Section B Cantilever Beam Check'!$G$16))</f>
        <v/>
      </c>
      <c r="BE8" s="70" t="str">
        <f>IF(OR('_CB Analysis'!$I$25&lt;&gt;"OK",COUNT('Section B Cantilever Beam Check'!$G$16)&lt;&gt;1,'Section B Cantilever Beam Check'!$G$16&lt;0),"",IF(BE7='Section B Cantilever Beam Check'!$G$16,'Section B Cantilever Beam Check'!$G$16,IF(BE7+$BF$2&gt;$AC$15,'Section B Cantilever Beam Check'!$G$16,BE7+$BF$2)))</f>
        <v/>
      </c>
      <c r="BF8" s="70"/>
      <c r="BG8" s="70" t="str">
        <f>IF(OR('_CB Analysis'!$I$25&lt;&gt;"OK",COUNT('Section B Cantilever Beam Check'!$G$16)&lt;&gt;1,'Section B Cantilever Beam Check'!$G$16&lt;0),"",IF(BH8&lt;&gt;'Section B Cantilever Beam Check'!$G$16,$BG$2,'Section B Cantilever Beam Check'!$G$16))</f>
        <v/>
      </c>
      <c r="BH8" s="70" t="str">
        <f>IF(OR('_CB Analysis'!$I$25&lt;&gt;"OK",COUNT('Section B Cantilever Beam Check'!$G$16)&lt;&gt;1,'Section B Cantilever Beam Check'!$G$16&lt;0),"",IF(BH7='Section B Cantilever Beam Check'!$G$16,'Section B Cantilever Beam Check'!$G$16,IF(BH7+$BI$2&gt;$AC$15,'Section B Cantilever Beam Check'!$G$16,BH7+$BI$2)))</f>
        <v/>
      </c>
      <c r="BI8" s="70"/>
      <c r="BJ8" s="70" t="str">
        <f>IF(OR('_CB Analysis'!$I$25&lt;&gt;"OK",COUNT('Section B Cantilever Beam Check'!$G$16)&lt;&gt;1,'Section B Cantilever Beam Check'!$G$16&lt;0),"",IF(BK8&lt;&gt;'Section B Cantilever Beam Check'!$G$16,$BJ$2,'Section B Cantilever Beam Check'!$G$16))</f>
        <v/>
      </c>
      <c r="BK8" s="70" t="str">
        <f>IF(OR('_CB Analysis'!$I$25&lt;&gt;"OK",COUNT('Section B Cantilever Beam Check'!$G$16)&lt;&gt;1,'Section B Cantilever Beam Check'!$G$16&lt;0),"",IF(BK7='Section B Cantilever Beam Check'!$G$16,'Section B Cantilever Beam Check'!$G$16,IF(BK7+$BL$2&gt;$AC$15,'Section B Cantilever Beam Check'!$G$16,BK7+$BL$2)))</f>
        <v/>
      </c>
      <c r="BL8" s="70"/>
      <c r="BM8" s="70" t="str">
        <f>IF(OR('_CB Analysis'!$I$25&lt;&gt;"OK",COUNT('Section B Cantilever Beam Check'!$G$16)&lt;&gt;1,'Section B Cantilever Beam Check'!$G$16&lt;0),"",IF(BN8&lt;&gt;'Section B Cantilever Beam Check'!$G$16,$BM$2,'Section B Cantilever Beam Check'!$G$16))</f>
        <v/>
      </c>
      <c r="BN8" s="70" t="str">
        <f>IF(OR('_CB Analysis'!$I$25&lt;&gt;"OK",COUNT('Section B Cantilever Beam Check'!$G$16)&lt;&gt;1,'Section B Cantilever Beam Check'!$G$16&lt;0),"",IF(BN7='Section B Cantilever Beam Check'!$G$16,'Section B Cantilever Beam Check'!$G$16,IF(BN7+$BO$2&gt;$AC$15,'Section B Cantilever Beam Check'!$G$16,BN7+$BO$2)))</f>
        <v/>
      </c>
      <c r="BO8" s="73"/>
      <c r="BP8" s="70"/>
      <c r="BQ8" s="70"/>
    </row>
    <row r="9" spans="15:69">
      <c r="P9" s="76"/>
      <c r="Q9" s="76"/>
      <c r="Y9" s="76"/>
      <c r="Z9" s="76"/>
      <c r="AA9" s="76"/>
      <c r="AB9" s="76"/>
      <c r="AC9" s="76"/>
      <c r="AD9" s="76"/>
      <c r="AE9" s="76"/>
      <c r="AF9" s="76"/>
      <c r="AG9" s="76"/>
      <c r="AH9" s="76"/>
      <c r="AI9" s="76"/>
      <c r="AJ9" s="76"/>
      <c r="AK9" s="74">
        <v>3</v>
      </c>
      <c r="AL9" s="70" t="str">
        <f>IF(OR('_CB Analysis'!$I$25&lt;&gt;"OK",COUNT('Section B Cantilever Beam Check'!$G$16)&lt;&gt;1,'Section B Cantilever Beam Check'!$G$16&lt;0),"",AL8)</f>
        <v/>
      </c>
      <c r="AM9" s="70" t="str">
        <f>IF(OR('_CB Analysis'!$I$25&lt;&gt;"OK",COUNT('Section B Cantilever Beam Check'!$G$16)&lt;&gt;1,'Section B Cantilever Beam Check'!$G$16&lt;0),"",IF($AL$3="",$AM$6,IF(AM8+$AL$3&gt;$AM$2,$AM$6,AM8+$AL$3)))</f>
        <v/>
      </c>
      <c r="AN9" s="73" t="str">
        <f>IF(OR('_CB Analysis'!$I$25&lt;&gt;"OK",COUNT('Section B Cantilever Beam Check'!$G$16)&lt;&gt;1,'Section B Cantilever Beam Check'!$G$16&lt;0),"",$AC$15)</f>
        <v/>
      </c>
      <c r="AO9" s="70"/>
      <c r="AP9" s="76"/>
      <c r="AQ9" s="76"/>
      <c r="AR9" s="269" t="str">
        <f>IF(OR('_CB Analysis'!$I$25&lt;&gt;"OK",COUNT('Section B Cantilever Beam Check'!$G$16)&lt;&gt;1,'Section B Cantilever Beam Check'!$G$16&lt;0),"",IF(AS9&lt;&gt;'Section B Cantilever Beam Check'!$G$16,$AR$2,'Section B Cantilever Beam Check'!$G$16))</f>
        <v/>
      </c>
      <c r="AS9" s="70" t="str">
        <f>IF(OR('_CB Analysis'!$I$25&lt;&gt;"OK",COUNT('Section B Cantilever Beam Check'!$G$16)&lt;&gt;1,'Section B Cantilever Beam Check'!$G$16&lt;0),"",IF(AS8='Section B Cantilever Beam Check'!$G$16,'Section B Cantilever Beam Check'!$G$16,IF(AS8+$AT$2&gt;$AC$15,'Section B Cantilever Beam Check'!$G$16,AS8+$AT$2)))</f>
        <v/>
      </c>
      <c r="AT9" s="70"/>
      <c r="AU9" s="70" t="str">
        <f>IF(OR('_CB Analysis'!$I$25&lt;&gt;"OK",COUNT('Section B Cantilever Beam Check'!$G$16)&lt;&gt;1,'Section B Cantilever Beam Check'!$G$16&lt;0),"",IF(AV9&lt;&gt;'Section B Cantilever Beam Check'!$G$16,$AU$2,'Section B Cantilever Beam Check'!$G$16))</f>
        <v/>
      </c>
      <c r="AV9" s="70" t="str">
        <f>IF(OR('_CB Analysis'!$I$25&lt;&gt;"OK",COUNT('Section B Cantilever Beam Check'!$G$16)&lt;&gt;1,'Section B Cantilever Beam Check'!$G$16&lt;0),"",IF(AV8='Section B Cantilever Beam Check'!$G$16,'Section B Cantilever Beam Check'!$G$16,IF(AV8+$AW$2&gt;$AC$15,'Section B Cantilever Beam Check'!$G$16,AV8+$AW$2)))</f>
        <v/>
      </c>
      <c r="AW9" s="70"/>
      <c r="AX9" s="70" t="str">
        <f>IF(OR('_CB Analysis'!$I$25&lt;&gt;"OK",COUNT('Section B Cantilever Beam Check'!$G$16)&lt;&gt;1,'Section B Cantilever Beam Check'!$G$16&lt;0),"",IF(AY9&lt;&gt;'Section B Cantilever Beam Check'!$G$16,$AX$2,'Section B Cantilever Beam Check'!$G$16))</f>
        <v/>
      </c>
      <c r="AY9" s="70" t="str">
        <f>IF(OR('_CB Analysis'!$I$25&lt;&gt;"OK",COUNT('Section B Cantilever Beam Check'!$G$16)&lt;&gt;1,'Section B Cantilever Beam Check'!$G$16&lt;0),"",IF(AY8='Section B Cantilever Beam Check'!$G$16,'Section B Cantilever Beam Check'!$G$16,IF(AY8+$AZ$2&gt;$AC$15,'Section B Cantilever Beam Check'!$G$16,AY8+$AZ$2)))</f>
        <v/>
      </c>
      <c r="AZ9" s="70"/>
      <c r="BA9" s="70" t="str">
        <f>IF(OR('_CB Analysis'!$I$25&lt;&gt;"OK",COUNT('Section B Cantilever Beam Check'!$G$16)&lt;&gt;1,'Section B Cantilever Beam Check'!$G$16&lt;0),"",IF(BB9&lt;&gt;'Section B Cantilever Beam Check'!$G$16,$BA$2,'Section B Cantilever Beam Check'!$G$16))</f>
        <v/>
      </c>
      <c r="BB9" s="70" t="str">
        <f>IF(OR('_CB Analysis'!$I$25&lt;&gt;"OK",COUNT('Section B Cantilever Beam Check'!$G$16)&lt;&gt;1,'Section B Cantilever Beam Check'!$G$16&lt;0),"",IF(BB8='Section B Cantilever Beam Check'!$G$16,'Section B Cantilever Beam Check'!$G$16,IF(BB8+$BC$2&gt;$AC$15,'Section B Cantilever Beam Check'!$G$16,BB8+$BC$2)))</f>
        <v/>
      </c>
      <c r="BC9" s="73"/>
      <c r="BD9" s="269" t="str">
        <f>IF(OR('_CB Analysis'!$I$25&lt;&gt;"OK",COUNT('Section B Cantilever Beam Check'!$G$16)&lt;&gt;1,'Section B Cantilever Beam Check'!$G$16&lt;0),"",IF(BE9&lt;&gt;'Section B Cantilever Beam Check'!$G$16,$BD$2,'Section B Cantilever Beam Check'!$G$16))</f>
        <v/>
      </c>
      <c r="BE9" s="70" t="str">
        <f>IF(OR('_CB Analysis'!$I$25&lt;&gt;"OK",COUNT('Section B Cantilever Beam Check'!$G$16)&lt;&gt;1,'Section B Cantilever Beam Check'!$G$16&lt;0),"",IF(BE8='Section B Cantilever Beam Check'!$G$16,'Section B Cantilever Beam Check'!$G$16,IF(BE8+$BF$2&gt;$AC$15,'Section B Cantilever Beam Check'!$G$16,BE8+$BF$2)))</f>
        <v/>
      </c>
      <c r="BF9" s="70"/>
      <c r="BG9" s="70" t="str">
        <f>IF(OR('_CB Analysis'!$I$25&lt;&gt;"OK",COUNT('Section B Cantilever Beam Check'!$G$16)&lt;&gt;1,'Section B Cantilever Beam Check'!$G$16&lt;0),"",IF(BH9&lt;&gt;'Section B Cantilever Beam Check'!$G$16,$BG$2,'Section B Cantilever Beam Check'!$G$16))</f>
        <v/>
      </c>
      <c r="BH9" s="70" t="str">
        <f>IF(OR('_CB Analysis'!$I$25&lt;&gt;"OK",COUNT('Section B Cantilever Beam Check'!$G$16)&lt;&gt;1,'Section B Cantilever Beam Check'!$G$16&lt;0),"",IF(BH8='Section B Cantilever Beam Check'!$G$16,'Section B Cantilever Beam Check'!$G$16,IF(BH8+$BI$2&gt;$AC$15,'Section B Cantilever Beam Check'!$G$16,BH8+$BI$2)))</f>
        <v/>
      </c>
      <c r="BI9" s="70"/>
      <c r="BJ9" s="70" t="str">
        <f>IF(OR('_CB Analysis'!$I$25&lt;&gt;"OK",COUNT('Section B Cantilever Beam Check'!$G$16)&lt;&gt;1,'Section B Cantilever Beam Check'!$G$16&lt;0),"",IF(BK9&lt;&gt;'Section B Cantilever Beam Check'!$G$16,$BJ$2,'Section B Cantilever Beam Check'!$G$16))</f>
        <v/>
      </c>
      <c r="BK9" s="70" t="str">
        <f>IF(OR('_CB Analysis'!$I$25&lt;&gt;"OK",COUNT('Section B Cantilever Beam Check'!$G$16)&lt;&gt;1,'Section B Cantilever Beam Check'!$G$16&lt;0),"",IF(BK8='Section B Cantilever Beam Check'!$G$16,'Section B Cantilever Beam Check'!$G$16,IF(BK8+$BL$2&gt;$AC$15,'Section B Cantilever Beam Check'!$G$16,BK8+$BL$2)))</f>
        <v/>
      </c>
      <c r="BL9" s="70"/>
      <c r="BM9" s="70" t="str">
        <f>IF(OR('_CB Analysis'!$I$25&lt;&gt;"OK",COUNT('Section B Cantilever Beam Check'!$G$16)&lt;&gt;1,'Section B Cantilever Beam Check'!$G$16&lt;0),"",IF(BN9&lt;&gt;'Section B Cantilever Beam Check'!$G$16,$BM$2,'Section B Cantilever Beam Check'!$G$16))</f>
        <v/>
      </c>
      <c r="BN9" s="70" t="str">
        <f>IF(OR('_CB Analysis'!$I$25&lt;&gt;"OK",COUNT('Section B Cantilever Beam Check'!$G$16)&lt;&gt;1,'Section B Cantilever Beam Check'!$G$16&lt;0),"",IF(BN8='Section B Cantilever Beam Check'!$G$16,'Section B Cantilever Beam Check'!$G$16,IF(BN8+$BO$2&gt;$AC$15,'Section B Cantilever Beam Check'!$G$16,BN8+$BO$2)))</f>
        <v/>
      </c>
      <c r="BO9" s="73"/>
      <c r="BP9" s="70"/>
      <c r="BQ9" s="70"/>
    </row>
    <row r="10" spans="15:69">
      <c r="P10" s="70"/>
      <c r="Q10" s="70"/>
      <c r="Y10" s="70"/>
      <c r="Z10" s="70"/>
      <c r="AA10" s="70"/>
      <c r="AB10" s="70"/>
      <c r="AC10" s="70"/>
      <c r="AD10" s="70"/>
      <c r="AE10" s="70" t="str">
        <f>IF(OR('_CB Analysis'!$I$25&lt;&gt;"OK",COUNT('Section B Cantilever Beam Check'!$G$16)&lt;&gt;1,'Section B Cantilever Beam Check'!$G$16&lt;0),"",AF10)</f>
        <v/>
      </c>
      <c r="AF10" s="70" t="str">
        <f>IF(OR('_CB Analysis'!$I$25&lt;&gt;"OK",COUNT('Section B Cantilever Beam Check'!$G$16)&lt;&gt;1,'Section B Cantilever Beam Check'!$G$16&lt;0),"",2*'Section B Cantilever Beam Check'!G16)</f>
        <v/>
      </c>
      <c r="AG10" s="70"/>
      <c r="AH10" s="70"/>
      <c r="AI10" s="70"/>
      <c r="AJ10" s="70"/>
      <c r="AK10" s="74">
        <v>4</v>
      </c>
      <c r="AL10" s="70" t="str">
        <f>IF(OR('_CB Analysis'!$I$25&lt;&gt;"OK",COUNT('Section B Cantilever Beam Check'!$G$16)&lt;&gt;1,'Section B Cantilever Beam Check'!$G$16&lt;0),"",AL9)</f>
        <v/>
      </c>
      <c r="AM10" s="70" t="str">
        <f>IF(OR('_CB Analysis'!$I$25&lt;&gt;"OK",COUNT('Section B Cantilever Beam Check'!$G$16)&lt;&gt;1,'Section B Cantilever Beam Check'!$G$16&lt;0),"",IF($AL$3="",$AM$6,IF(AM9+$AL$3&gt;$AM$2,$AM$6,AM9+$AL$3)))</f>
        <v/>
      </c>
      <c r="AN10" s="73" t="str">
        <f>IF(OR('_CB Analysis'!$I$25&lt;&gt;"OK",COUNT('Section B Cantilever Beam Check'!$G$16)&lt;&gt;1,'Section B Cantilever Beam Check'!$G$16&lt;0),"",$AC$15)</f>
        <v/>
      </c>
      <c r="AO10" s="70"/>
      <c r="AP10" s="70"/>
      <c r="AQ10" s="70"/>
      <c r="AR10" s="269" t="str">
        <f>IF(OR('_CB Analysis'!$I$25&lt;&gt;"OK",COUNT('Section B Cantilever Beam Check'!$G$16)&lt;&gt;1,'Section B Cantilever Beam Check'!$G$16&lt;0),"",IF(AS10&lt;&gt;'Section B Cantilever Beam Check'!$G$16,$AR$2,'Section B Cantilever Beam Check'!$G$16))</f>
        <v/>
      </c>
      <c r="AS10" s="70" t="str">
        <f>IF(OR('_CB Analysis'!$I$25&lt;&gt;"OK",COUNT('Section B Cantilever Beam Check'!$G$16)&lt;&gt;1,'Section B Cantilever Beam Check'!$G$16&lt;0),"",IF(AS9='Section B Cantilever Beam Check'!$G$16,'Section B Cantilever Beam Check'!$G$16,IF(AS9+$AT$2&gt;$AC$15,'Section B Cantilever Beam Check'!$G$16,AS9+$AT$2)))</f>
        <v/>
      </c>
      <c r="AT10" s="70"/>
      <c r="AU10" s="70" t="str">
        <f>IF(OR('_CB Analysis'!$I$25&lt;&gt;"OK",COUNT('Section B Cantilever Beam Check'!$G$16)&lt;&gt;1,'Section B Cantilever Beam Check'!$G$16&lt;0),"",IF(AV10&lt;&gt;'Section B Cantilever Beam Check'!$G$16,$AU$2,'Section B Cantilever Beam Check'!$G$16))</f>
        <v/>
      </c>
      <c r="AV10" s="70" t="str">
        <f>IF(OR('_CB Analysis'!$I$25&lt;&gt;"OK",COUNT('Section B Cantilever Beam Check'!$G$16)&lt;&gt;1,'Section B Cantilever Beam Check'!$G$16&lt;0),"",IF(AV9='Section B Cantilever Beam Check'!$G$16,'Section B Cantilever Beam Check'!$G$16,IF(AV9+$AW$2&gt;$AC$15,'Section B Cantilever Beam Check'!$G$16,AV9+$AW$2)))</f>
        <v/>
      </c>
      <c r="AW10" s="70"/>
      <c r="AX10" s="70" t="str">
        <f>IF(OR('_CB Analysis'!$I$25&lt;&gt;"OK",COUNT('Section B Cantilever Beam Check'!$G$16)&lt;&gt;1,'Section B Cantilever Beam Check'!$G$16&lt;0),"",IF(AY10&lt;&gt;'Section B Cantilever Beam Check'!$G$16,$AX$2,'Section B Cantilever Beam Check'!$G$16))</f>
        <v/>
      </c>
      <c r="AY10" s="70" t="str">
        <f>IF(OR('_CB Analysis'!$I$25&lt;&gt;"OK",COUNT('Section B Cantilever Beam Check'!$G$16)&lt;&gt;1,'Section B Cantilever Beam Check'!$G$16&lt;0),"",IF(AY9='Section B Cantilever Beam Check'!$G$16,'Section B Cantilever Beam Check'!$G$16,IF(AY9+$AZ$2&gt;$AC$15,'Section B Cantilever Beam Check'!$G$16,AY9+$AZ$2)))</f>
        <v/>
      </c>
      <c r="AZ10" s="70"/>
      <c r="BA10" s="70" t="str">
        <f>IF(OR('_CB Analysis'!$I$25&lt;&gt;"OK",COUNT('Section B Cantilever Beam Check'!$G$16)&lt;&gt;1,'Section B Cantilever Beam Check'!$G$16&lt;0),"",IF(BB10&lt;&gt;'Section B Cantilever Beam Check'!$G$16,$BA$2,'Section B Cantilever Beam Check'!$G$16))</f>
        <v/>
      </c>
      <c r="BB10" s="70" t="str">
        <f>IF(OR('_CB Analysis'!$I$25&lt;&gt;"OK",COUNT('Section B Cantilever Beam Check'!$G$16)&lt;&gt;1,'Section B Cantilever Beam Check'!$G$16&lt;0),"",IF(BB9='Section B Cantilever Beam Check'!$G$16,'Section B Cantilever Beam Check'!$G$16,IF(BB9+$BC$2&gt;$AC$15,'Section B Cantilever Beam Check'!$G$16,BB9+$BC$2)))</f>
        <v/>
      </c>
      <c r="BC10" s="73"/>
      <c r="BD10" s="269" t="str">
        <f>IF(OR('_CB Analysis'!$I$25&lt;&gt;"OK",COUNT('Section B Cantilever Beam Check'!$G$16)&lt;&gt;1,'Section B Cantilever Beam Check'!$G$16&lt;0),"",IF(BE10&lt;&gt;'Section B Cantilever Beam Check'!$G$16,$BD$2,'Section B Cantilever Beam Check'!$G$16))</f>
        <v/>
      </c>
      <c r="BE10" s="70" t="str">
        <f>IF(OR('_CB Analysis'!$I$25&lt;&gt;"OK",COUNT('Section B Cantilever Beam Check'!$G$16)&lt;&gt;1,'Section B Cantilever Beam Check'!$G$16&lt;0),"",IF(BE9='Section B Cantilever Beam Check'!$G$16,'Section B Cantilever Beam Check'!$G$16,IF(BE9+$BF$2&gt;$AC$15,'Section B Cantilever Beam Check'!$G$16,BE9+$BF$2)))</f>
        <v/>
      </c>
      <c r="BF10" s="70"/>
      <c r="BG10" s="70" t="str">
        <f>IF(OR('_CB Analysis'!$I$25&lt;&gt;"OK",COUNT('Section B Cantilever Beam Check'!$G$16)&lt;&gt;1,'Section B Cantilever Beam Check'!$G$16&lt;0),"",IF(BH10&lt;&gt;'Section B Cantilever Beam Check'!$G$16,$BG$2,'Section B Cantilever Beam Check'!$G$16))</f>
        <v/>
      </c>
      <c r="BH10" s="70" t="str">
        <f>IF(OR('_CB Analysis'!$I$25&lt;&gt;"OK",COUNT('Section B Cantilever Beam Check'!$G$16)&lt;&gt;1,'Section B Cantilever Beam Check'!$G$16&lt;0),"",IF(BH9='Section B Cantilever Beam Check'!$G$16,'Section B Cantilever Beam Check'!$G$16,IF(BH9+$BI$2&gt;$AC$15,'Section B Cantilever Beam Check'!$G$16,BH9+$BI$2)))</f>
        <v/>
      </c>
      <c r="BI10" s="70"/>
      <c r="BJ10" s="70" t="str">
        <f>IF(OR('_CB Analysis'!$I$25&lt;&gt;"OK",COUNT('Section B Cantilever Beam Check'!$G$16)&lt;&gt;1,'Section B Cantilever Beam Check'!$G$16&lt;0),"",IF(BK10&lt;&gt;'Section B Cantilever Beam Check'!$G$16,$BJ$2,'Section B Cantilever Beam Check'!$G$16))</f>
        <v/>
      </c>
      <c r="BK10" s="70" t="str">
        <f>IF(OR('_CB Analysis'!$I$25&lt;&gt;"OK",COUNT('Section B Cantilever Beam Check'!$G$16)&lt;&gt;1,'Section B Cantilever Beam Check'!$G$16&lt;0),"",IF(BK9='Section B Cantilever Beam Check'!$G$16,'Section B Cantilever Beam Check'!$G$16,IF(BK9+$BL$2&gt;$AC$15,'Section B Cantilever Beam Check'!$G$16,BK9+$BL$2)))</f>
        <v/>
      </c>
      <c r="BL10" s="70"/>
      <c r="BM10" s="70" t="str">
        <f>IF(OR('_CB Analysis'!$I$25&lt;&gt;"OK",COUNT('Section B Cantilever Beam Check'!$G$16)&lt;&gt;1,'Section B Cantilever Beam Check'!$G$16&lt;0),"",IF(BN10&lt;&gt;'Section B Cantilever Beam Check'!$G$16,$BM$2,'Section B Cantilever Beam Check'!$G$16))</f>
        <v/>
      </c>
      <c r="BN10" s="70" t="str">
        <f>IF(OR('_CB Analysis'!$I$25&lt;&gt;"OK",COUNT('Section B Cantilever Beam Check'!$G$16)&lt;&gt;1,'Section B Cantilever Beam Check'!$G$16&lt;0),"",IF(BN9='Section B Cantilever Beam Check'!$G$16,'Section B Cantilever Beam Check'!$G$16,IF(BN9+$BO$2&gt;$AC$15,'Section B Cantilever Beam Check'!$G$16,BN9+$BO$2)))</f>
        <v/>
      </c>
      <c r="BO10" s="73"/>
      <c r="BP10" s="70"/>
      <c r="BQ10" s="70"/>
    </row>
    <row r="11" spans="15:69">
      <c r="P11" s="70"/>
      <c r="Q11" s="70"/>
      <c r="Y11" s="70"/>
      <c r="Z11" s="70"/>
      <c r="AA11" s="70"/>
      <c r="AB11" s="70"/>
      <c r="AC11" s="70"/>
      <c r="AD11" s="70"/>
      <c r="AE11" s="70" t="str">
        <f>IF(OR('_CB Analysis'!$I$25&lt;&gt;"OK",COUNT('Section B Cantilever Beam Check'!$G$16)&lt;&gt;1,'Section B Cantilever Beam Check'!$G$16&lt;0),"",AF10)</f>
        <v/>
      </c>
      <c r="AF11" s="70"/>
      <c r="AG11" s="70"/>
      <c r="AH11" s="70"/>
      <c r="AI11" s="70"/>
      <c r="AJ11" s="70"/>
      <c r="AK11" s="74">
        <v>5</v>
      </c>
      <c r="AL11" s="70" t="str">
        <f>IF(OR('_CB Analysis'!$I$25&lt;&gt;"OK",COUNT('Section B Cantilever Beam Check'!$G$16)&lt;&gt;1,'Section B Cantilever Beam Check'!$G$16&lt;0),"",AL10)</f>
        <v/>
      </c>
      <c r="AM11" s="70" t="str">
        <f>IF(OR('_CB Analysis'!$I$25&lt;&gt;"OK",COUNT('Section B Cantilever Beam Check'!$G$16)&lt;&gt;1,'Section B Cantilever Beam Check'!$G$16&lt;0),"",IF($AL$3="",$AM$6,IF(AM10+$AL$3&gt;$AM$2,$AM$6,AM10+$AL$3)))</f>
        <v/>
      </c>
      <c r="AN11" s="73" t="str">
        <f>IF(OR('_CB Analysis'!$I$25&lt;&gt;"OK",COUNT('Section B Cantilever Beam Check'!$G$16)&lt;&gt;1,'Section B Cantilever Beam Check'!$G$16&lt;0),"",$AC$15)</f>
        <v/>
      </c>
      <c r="AO11" s="70"/>
      <c r="AP11" s="70"/>
      <c r="AQ11" s="70"/>
      <c r="AR11" s="269" t="str">
        <f>IF(OR('_CB Analysis'!$I$25&lt;&gt;"OK",COUNT('Section B Cantilever Beam Check'!$G$16)&lt;&gt;1,'Section B Cantilever Beam Check'!$G$16&lt;0),"",IF(AS11&lt;&gt;'Section B Cantilever Beam Check'!$G$16,$AR$2,'Section B Cantilever Beam Check'!$G$16))</f>
        <v/>
      </c>
      <c r="AS11" s="70" t="str">
        <f>IF(OR('_CB Analysis'!$I$25&lt;&gt;"OK",COUNT('Section B Cantilever Beam Check'!$G$16)&lt;&gt;1,'Section B Cantilever Beam Check'!$G$16&lt;0),"",IF(AS10='Section B Cantilever Beam Check'!$G$16,'Section B Cantilever Beam Check'!$G$16,IF(AS10+$AT$2&gt;$AC$15,'Section B Cantilever Beam Check'!$G$16,AS10+$AT$2)))</f>
        <v/>
      </c>
      <c r="AT11" s="70"/>
      <c r="AU11" s="70" t="str">
        <f>IF(OR('_CB Analysis'!$I$25&lt;&gt;"OK",COUNT('Section B Cantilever Beam Check'!$G$16)&lt;&gt;1,'Section B Cantilever Beam Check'!$G$16&lt;0),"",IF(AV11&lt;&gt;'Section B Cantilever Beam Check'!$G$16,$AU$2,'Section B Cantilever Beam Check'!$G$16))</f>
        <v/>
      </c>
      <c r="AV11" s="70" t="str">
        <f>IF(OR('_CB Analysis'!$I$25&lt;&gt;"OK",COUNT('Section B Cantilever Beam Check'!$G$16)&lt;&gt;1,'Section B Cantilever Beam Check'!$G$16&lt;0),"",IF(AV10='Section B Cantilever Beam Check'!$G$16,'Section B Cantilever Beam Check'!$G$16,IF(AV10+$AW$2&gt;$AC$15,'Section B Cantilever Beam Check'!$G$16,AV10+$AW$2)))</f>
        <v/>
      </c>
      <c r="AW11" s="70"/>
      <c r="AX11" s="70" t="str">
        <f>IF(OR('_CB Analysis'!$I$25&lt;&gt;"OK",COUNT('Section B Cantilever Beam Check'!$G$16)&lt;&gt;1,'Section B Cantilever Beam Check'!$G$16&lt;0),"",IF(AY11&lt;&gt;'Section B Cantilever Beam Check'!$G$16,$AX$2,'Section B Cantilever Beam Check'!$G$16))</f>
        <v/>
      </c>
      <c r="AY11" s="70" t="str">
        <f>IF(OR('_CB Analysis'!$I$25&lt;&gt;"OK",COUNT('Section B Cantilever Beam Check'!$G$16)&lt;&gt;1,'Section B Cantilever Beam Check'!$G$16&lt;0),"",IF(AY10='Section B Cantilever Beam Check'!$G$16,'Section B Cantilever Beam Check'!$G$16,IF(AY10+$AZ$2&gt;$AC$15,'Section B Cantilever Beam Check'!$G$16,AY10+$AZ$2)))</f>
        <v/>
      </c>
      <c r="AZ11" s="70"/>
      <c r="BA11" s="70" t="str">
        <f>IF(OR('_CB Analysis'!$I$25&lt;&gt;"OK",COUNT('Section B Cantilever Beam Check'!$G$16)&lt;&gt;1,'Section B Cantilever Beam Check'!$G$16&lt;0),"",IF(BB11&lt;&gt;'Section B Cantilever Beam Check'!$G$16,$BA$2,'Section B Cantilever Beam Check'!$G$16))</f>
        <v/>
      </c>
      <c r="BB11" s="70" t="str">
        <f>IF(OR('_CB Analysis'!$I$25&lt;&gt;"OK",COUNT('Section B Cantilever Beam Check'!$G$16)&lt;&gt;1,'Section B Cantilever Beam Check'!$G$16&lt;0),"",IF(BB10='Section B Cantilever Beam Check'!$G$16,'Section B Cantilever Beam Check'!$G$16,IF(BB10+$BC$2&gt;$AC$15,'Section B Cantilever Beam Check'!$G$16,BB10+$BC$2)))</f>
        <v/>
      </c>
      <c r="BC11" s="73"/>
      <c r="BD11" s="269" t="str">
        <f>IF(OR('_CB Analysis'!$I$25&lt;&gt;"OK",COUNT('Section B Cantilever Beam Check'!$G$16)&lt;&gt;1,'Section B Cantilever Beam Check'!$G$16&lt;0),"",IF(BE11&lt;&gt;'Section B Cantilever Beam Check'!$G$16,$BD$2,'Section B Cantilever Beam Check'!$G$16))</f>
        <v/>
      </c>
      <c r="BE11" s="70" t="str">
        <f>IF(OR('_CB Analysis'!$I$25&lt;&gt;"OK",COUNT('Section B Cantilever Beam Check'!$G$16)&lt;&gt;1,'Section B Cantilever Beam Check'!$G$16&lt;0),"",IF(BE10='Section B Cantilever Beam Check'!$G$16,'Section B Cantilever Beam Check'!$G$16,IF(BE10+$BF$2&gt;$AC$15,'Section B Cantilever Beam Check'!$G$16,BE10+$BF$2)))</f>
        <v/>
      </c>
      <c r="BF11" s="70"/>
      <c r="BG11" s="70" t="str">
        <f>IF(OR('_CB Analysis'!$I$25&lt;&gt;"OK",COUNT('Section B Cantilever Beam Check'!$G$16)&lt;&gt;1,'Section B Cantilever Beam Check'!$G$16&lt;0),"",IF(BH11&lt;&gt;'Section B Cantilever Beam Check'!$G$16,$BG$2,'Section B Cantilever Beam Check'!$G$16))</f>
        <v/>
      </c>
      <c r="BH11" s="70" t="str">
        <f>IF(OR('_CB Analysis'!$I$25&lt;&gt;"OK",COUNT('Section B Cantilever Beam Check'!$G$16)&lt;&gt;1,'Section B Cantilever Beam Check'!$G$16&lt;0),"",IF(BH10='Section B Cantilever Beam Check'!$G$16,'Section B Cantilever Beam Check'!$G$16,IF(BH10+$BI$2&gt;$AC$15,'Section B Cantilever Beam Check'!$G$16,BH10+$BI$2)))</f>
        <v/>
      </c>
      <c r="BI11" s="70"/>
      <c r="BJ11" s="70" t="str">
        <f>IF(OR('_CB Analysis'!$I$25&lt;&gt;"OK",COUNT('Section B Cantilever Beam Check'!$G$16)&lt;&gt;1,'Section B Cantilever Beam Check'!$G$16&lt;0),"",IF(BK11&lt;&gt;'Section B Cantilever Beam Check'!$G$16,$BJ$2,'Section B Cantilever Beam Check'!$G$16))</f>
        <v/>
      </c>
      <c r="BK11" s="70" t="str">
        <f>IF(OR('_CB Analysis'!$I$25&lt;&gt;"OK",COUNT('Section B Cantilever Beam Check'!$G$16)&lt;&gt;1,'Section B Cantilever Beam Check'!$G$16&lt;0),"",IF(BK10='Section B Cantilever Beam Check'!$G$16,'Section B Cantilever Beam Check'!$G$16,IF(BK10+$BL$2&gt;$AC$15,'Section B Cantilever Beam Check'!$G$16,BK10+$BL$2)))</f>
        <v/>
      </c>
      <c r="BL11" s="70"/>
      <c r="BM11" s="70" t="str">
        <f>IF(OR('_CB Analysis'!$I$25&lt;&gt;"OK",COUNT('Section B Cantilever Beam Check'!$G$16)&lt;&gt;1,'Section B Cantilever Beam Check'!$G$16&lt;0),"",IF(BN11&lt;&gt;'Section B Cantilever Beam Check'!$G$16,$BM$2,'Section B Cantilever Beam Check'!$G$16))</f>
        <v/>
      </c>
      <c r="BN11" s="70" t="str">
        <f>IF(OR('_CB Analysis'!$I$25&lt;&gt;"OK",COUNT('Section B Cantilever Beam Check'!$G$16)&lt;&gt;1,'Section B Cantilever Beam Check'!$G$16&lt;0),"",IF(BN10='Section B Cantilever Beam Check'!$G$16,'Section B Cantilever Beam Check'!$G$16,IF(BN10+$BO$2&gt;$AC$15,'Section B Cantilever Beam Check'!$G$16,BN10+$BO$2)))</f>
        <v/>
      </c>
      <c r="BO11" s="73"/>
      <c r="BP11" s="70"/>
      <c r="BQ11" s="70"/>
    </row>
    <row r="12" spans="15:69">
      <c r="P12" s="70"/>
      <c r="Q12" s="70"/>
      <c r="Y12" s="70"/>
      <c r="Z12" s="70"/>
      <c r="AA12" s="70"/>
      <c r="AB12" s="70"/>
      <c r="AC12" s="70"/>
      <c r="AD12" s="70"/>
      <c r="AE12" s="70"/>
      <c r="AF12" s="70"/>
      <c r="AG12" s="70"/>
      <c r="AH12" s="70"/>
      <c r="AI12" s="70"/>
      <c r="AJ12" s="70"/>
      <c r="AK12" s="74">
        <v>6</v>
      </c>
      <c r="AL12" s="70" t="str">
        <f>IF(OR('_CB Analysis'!$I$25&lt;&gt;"OK",COUNT('Section B Cantilever Beam Check'!$G$16)&lt;&gt;1,'Section B Cantilever Beam Check'!$G$16&lt;0),"",AL11)</f>
        <v/>
      </c>
      <c r="AM12" s="70" t="str">
        <f>IF(OR('_CB Analysis'!$I$25&lt;&gt;"OK",COUNT('Section B Cantilever Beam Check'!$G$16)&lt;&gt;1,'Section B Cantilever Beam Check'!$G$16&lt;0),"",IF($AL$3="",$AM$6,IF(AM11+$AL$3&gt;$AM$2,$AM$6,AM11+$AL$3)))</f>
        <v/>
      </c>
      <c r="AN12" s="73" t="str">
        <f>IF(OR('_CB Analysis'!$I$25&lt;&gt;"OK",COUNT('Section B Cantilever Beam Check'!$G$16)&lt;&gt;1,'Section B Cantilever Beam Check'!$G$16&lt;0),"",$AC$15)</f>
        <v/>
      </c>
      <c r="AO12" s="70"/>
      <c r="AP12" s="70"/>
      <c r="AQ12" s="70"/>
      <c r="AR12" s="269" t="str">
        <f>IF(OR('_CB Analysis'!$I$25&lt;&gt;"OK",COUNT('Section B Cantilever Beam Check'!$G$16)&lt;&gt;1,'Section B Cantilever Beam Check'!$G$16&lt;0),"",IF(AS12&lt;&gt;'Section B Cantilever Beam Check'!$G$16,$AR$2,'Section B Cantilever Beam Check'!$G$16))</f>
        <v/>
      </c>
      <c r="AS12" s="70" t="str">
        <f>IF(OR('_CB Analysis'!$I$25&lt;&gt;"OK",COUNT('Section B Cantilever Beam Check'!$G$16)&lt;&gt;1,'Section B Cantilever Beam Check'!$G$16&lt;0),"",IF(AS11='Section B Cantilever Beam Check'!$G$16,'Section B Cantilever Beam Check'!$G$16,IF(AS11+$AT$2&gt;$AC$15,'Section B Cantilever Beam Check'!$G$16,AS11+$AT$2)))</f>
        <v/>
      </c>
      <c r="AT12" s="70"/>
      <c r="AU12" s="70" t="str">
        <f>IF(OR('_CB Analysis'!$I$25&lt;&gt;"OK",COUNT('Section B Cantilever Beam Check'!$G$16)&lt;&gt;1,'Section B Cantilever Beam Check'!$G$16&lt;0),"",IF(AV12&lt;&gt;'Section B Cantilever Beam Check'!$G$16,$AU$2,'Section B Cantilever Beam Check'!$G$16))</f>
        <v/>
      </c>
      <c r="AV12" s="70" t="str">
        <f>IF(OR('_CB Analysis'!$I$25&lt;&gt;"OK",COUNT('Section B Cantilever Beam Check'!$G$16)&lt;&gt;1,'Section B Cantilever Beam Check'!$G$16&lt;0),"",IF(AV11='Section B Cantilever Beam Check'!$G$16,'Section B Cantilever Beam Check'!$G$16,IF(AV11+$AW$2&gt;$AC$15,'Section B Cantilever Beam Check'!$G$16,AV11+$AW$2)))</f>
        <v/>
      </c>
      <c r="AW12" s="70"/>
      <c r="AX12" s="70" t="str">
        <f>IF(OR('_CB Analysis'!$I$25&lt;&gt;"OK",COUNT('Section B Cantilever Beam Check'!$G$16)&lt;&gt;1,'Section B Cantilever Beam Check'!$G$16&lt;0),"",IF(AY12&lt;&gt;'Section B Cantilever Beam Check'!$G$16,$AX$2,'Section B Cantilever Beam Check'!$G$16))</f>
        <v/>
      </c>
      <c r="AY12" s="70" t="str">
        <f>IF(OR('_CB Analysis'!$I$25&lt;&gt;"OK",COUNT('Section B Cantilever Beam Check'!$G$16)&lt;&gt;1,'Section B Cantilever Beam Check'!$G$16&lt;0),"",IF(AY11='Section B Cantilever Beam Check'!$G$16,'Section B Cantilever Beam Check'!$G$16,IF(AY11+$AZ$2&gt;$AC$15,'Section B Cantilever Beam Check'!$G$16,AY11+$AZ$2)))</f>
        <v/>
      </c>
      <c r="AZ12" s="70"/>
      <c r="BA12" s="70" t="str">
        <f>IF(OR('_CB Analysis'!$I$25&lt;&gt;"OK",COUNT('Section B Cantilever Beam Check'!$G$16)&lt;&gt;1,'Section B Cantilever Beam Check'!$G$16&lt;0),"",IF(BB12&lt;&gt;'Section B Cantilever Beam Check'!$G$16,$BA$2,'Section B Cantilever Beam Check'!$G$16))</f>
        <v/>
      </c>
      <c r="BB12" s="70" t="str">
        <f>IF(OR('_CB Analysis'!$I$25&lt;&gt;"OK",COUNT('Section B Cantilever Beam Check'!$G$16)&lt;&gt;1,'Section B Cantilever Beam Check'!$G$16&lt;0),"",IF(BB11='Section B Cantilever Beam Check'!$G$16,'Section B Cantilever Beam Check'!$G$16,IF(BB11+$BC$2&gt;$AC$15,'Section B Cantilever Beam Check'!$G$16,BB11+$BC$2)))</f>
        <v/>
      </c>
      <c r="BC12" s="73"/>
      <c r="BD12" s="269" t="str">
        <f>IF(OR('_CB Analysis'!$I$25&lt;&gt;"OK",COUNT('Section B Cantilever Beam Check'!$G$16)&lt;&gt;1,'Section B Cantilever Beam Check'!$G$16&lt;0),"",IF(BE12&lt;&gt;'Section B Cantilever Beam Check'!$G$16,$BD$2,'Section B Cantilever Beam Check'!$G$16))</f>
        <v/>
      </c>
      <c r="BE12" s="70" t="str">
        <f>IF(OR('_CB Analysis'!$I$25&lt;&gt;"OK",COUNT('Section B Cantilever Beam Check'!$G$16)&lt;&gt;1,'Section B Cantilever Beam Check'!$G$16&lt;0),"",IF(BE11='Section B Cantilever Beam Check'!$G$16,'Section B Cantilever Beam Check'!$G$16,IF(BE11+$BF$2&gt;$AC$15,'Section B Cantilever Beam Check'!$G$16,BE11+$BF$2)))</f>
        <v/>
      </c>
      <c r="BF12" s="70"/>
      <c r="BG12" s="70" t="str">
        <f>IF(OR('_CB Analysis'!$I$25&lt;&gt;"OK",COUNT('Section B Cantilever Beam Check'!$G$16)&lt;&gt;1,'Section B Cantilever Beam Check'!$G$16&lt;0),"",IF(BH12&lt;&gt;'Section B Cantilever Beam Check'!$G$16,$BG$2,'Section B Cantilever Beam Check'!$G$16))</f>
        <v/>
      </c>
      <c r="BH12" s="70" t="str">
        <f>IF(OR('_CB Analysis'!$I$25&lt;&gt;"OK",COUNT('Section B Cantilever Beam Check'!$G$16)&lt;&gt;1,'Section B Cantilever Beam Check'!$G$16&lt;0),"",IF(BH11='Section B Cantilever Beam Check'!$G$16,'Section B Cantilever Beam Check'!$G$16,IF(BH11+$BI$2&gt;$AC$15,'Section B Cantilever Beam Check'!$G$16,BH11+$BI$2)))</f>
        <v/>
      </c>
      <c r="BI12" s="70"/>
      <c r="BJ12" s="70" t="str">
        <f>IF(OR('_CB Analysis'!$I$25&lt;&gt;"OK",COUNT('Section B Cantilever Beam Check'!$G$16)&lt;&gt;1,'Section B Cantilever Beam Check'!$G$16&lt;0),"",IF(BK12&lt;&gt;'Section B Cantilever Beam Check'!$G$16,$BJ$2,'Section B Cantilever Beam Check'!$G$16))</f>
        <v/>
      </c>
      <c r="BK12" s="70" t="str">
        <f>IF(OR('_CB Analysis'!$I$25&lt;&gt;"OK",COUNT('Section B Cantilever Beam Check'!$G$16)&lt;&gt;1,'Section B Cantilever Beam Check'!$G$16&lt;0),"",IF(BK11='Section B Cantilever Beam Check'!$G$16,'Section B Cantilever Beam Check'!$G$16,IF(BK11+$BL$2&gt;$AC$15,'Section B Cantilever Beam Check'!$G$16,BK11+$BL$2)))</f>
        <v/>
      </c>
      <c r="BL12" s="70"/>
      <c r="BM12" s="70" t="str">
        <f>IF(OR('_CB Analysis'!$I$25&lt;&gt;"OK",COUNT('Section B Cantilever Beam Check'!$G$16)&lt;&gt;1,'Section B Cantilever Beam Check'!$G$16&lt;0),"",IF(BN12&lt;&gt;'Section B Cantilever Beam Check'!$G$16,$BM$2,'Section B Cantilever Beam Check'!$G$16))</f>
        <v/>
      </c>
      <c r="BN12" s="70" t="str">
        <f>IF(OR('_CB Analysis'!$I$25&lt;&gt;"OK",COUNT('Section B Cantilever Beam Check'!$G$16)&lt;&gt;1,'Section B Cantilever Beam Check'!$G$16&lt;0),"",IF(BN11='Section B Cantilever Beam Check'!$G$16,'Section B Cantilever Beam Check'!$G$16,IF(BN11+$BO$2&gt;$AC$15,'Section B Cantilever Beam Check'!$G$16,BN11+$BO$2)))</f>
        <v/>
      </c>
      <c r="BO12" s="73"/>
      <c r="BP12" s="70"/>
      <c r="BQ12" s="70"/>
    </row>
    <row r="13" spans="15:69">
      <c r="P13" s="70">
        <v>10</v>
      </c>
      <c r="Q13" s="70" t="str">
        <f>IF(OR('_CB Analysis'!$I$25&lt;&gt;"OK",COUNT('Section B Cantilever Beam Check'!$G$16)&lt;&gt;1,'Section B Cantilever Beam Check'!$G$16&lt;0),"",MIN('Section B Cantilever Beam Check'!$T$8,P13))</f>
        <v/>
      </c>
      <c r="Y13" s="70">
        <v>0</v>
      </c>
      <c r="Z13" s="70">
        <v>0</v>
      </c>
      <c r="AA13" s="70">
        <v>0</v>
      </c>
      <c r="AB13" s="70">
        <v>0</v>
      </c>
      <c r="AC13" s="70" t="str">
        <f>IF(OR('_CB Analysis'!$I$25&lt;&gt;"OK",COUNT('Section B Cantilever Beam Check'!$G$16)&lt;&gt;1,'Section B Cantilever Beam Check'!$G$16&lt;0),"",IF(Y13=0,'Section B Cantilever Beam Check'!$G$16,Y13-'Section B Cantilever Beam Check'!$G$16))</f>
        <v/>
      </c>
      <c r="AD13" s="70" t="str">
        <f>IF(OR('_CB Analysis'!$I$25&lt;&gt;"OK",COUNT('Section B Cantilever Beam Check'!$G$16)&lt;&gt;1,'Section B Cantilever Beam Check'!$G$16&lt;0),"",IF(Z13=0,'Section B Cantilever Beam Check'!$G$16,Z13-'Section B Cantilever Beam Check'!$G$16))</f>
        <v/>
      </c>
      <c r="AE13" s="70" t="str">
        <f>IF(OR('_CB Analysis'!$I$25&lt;&gt;"OK",COUNT('Section B Cantilever Beam Check'!$G$16)&lt;&gt;1,'Section B Cantilever Beam Check'!$G$16&lt;0),"",IF(AC13='Section B Cantilever Beam Check'!$G$16,AC13-$AE$11,AC13+$AE$11))</f>
        <v/>
      </c>
      <c r="AF13" s="70" t="str">
        <f>IF(OR('_CB Analysis'!$I$25&lt;&gt;"OK",COUNT('Section B Cantilever Beam Check'!$G$16)&lt;&gt;1,'Section B Cantilever Beam Check'!$G$16&lt;0),"",IF(AD13='Section B Cantilever Beam Check'!$G$16,AD13-$AE$11,AD13+$AE$10))</f>
        <v/>
      </c>
      <c r="AG13" s="70"/>
      <c r="AH13" s="70"/>
      <c r="AI13" s="70"/>
      <c r="AJ13" s="70"/>
      <c r="AK13" s="74">
        <v>7</v>
      </c>
      <c r="AL13" s="70" t="str">
        <f>IF(OR('_CB Analysis'!$I$25&lt;&gt;"OK",COUNT('Section B Cantilever Beam Check'!$G$16)&lt;&gt;1,'Section B Cantilever Beam Check'!$G$16&lt;0),"",AL12)</f>
        <v/>
      </c>
      <c r="AM13" s="70" t="str">
        <f>IF(OR('_CB Analysis'!$I$25&lt;&gt;"OK",COUNT('Section B Cantilever Beam Check'!$G$16)&lt;&gt;1,'Section B Cantilever Beam Check'!$G$16&lt;0),"",IF($AL$3="",$AM$6,IF(AM12+$AL$3&gt;$AM$2,$AM$6,AM12+$AL$3)))</f>
        <v/>
      </c>
      <c r="AN13" s="73" t="str">
        <f>IF(OR('_CB Analysis'!$I$25&lt;&gt;"OK",COUNT('Section B Cantilever Beam Check'!$G$16)&lt;&gt;1,'Section B Cantilever Beam Check'!$G$16&lt;0),"",$AC$15)</f>
        <v/>
      </c>
      <c r="AO13" s="70"/>
      <c r="AP13" s="70"/>
      <c r="AQ13" s="70"/>
      <c r="AR13" s="269" t="str">
        <f>IF(OR('_CB Analysis'!$I$25&lt;&gt;"OK",COUNT('Section B Cantilever Beam Check'!$G$16)&lt;&gt;1,'Section B Cantilever Beam Check'!$G$16&lt;0),"",IF(AS13&lt;&gt;'Section B Cantilever Beam Check'!$G$16,$AR$2,'Section B Cantilever Beam Check'!$G$16))</f>
        <v/>
      </c>
      <c r="AS13" s="70" t="str">
        <f>IF(OR('_CB Analysis'!$I$25&lt;&gt;"OK",COUNT('Section B Cantilever Beam Check'!$G$16)&lt;&gt;1,'Section B Cantilever Beam Check'!$G$16&lt;0),"",IF(AS12='Section B Cantilever Beam Check'!$G$16,'Section B Cantilever Beam Check'!$G$16,IF(AS12+$AT$2&gt;$AC$15,'Section B Cantilever Beam Check'!$G$16,AS12+$AT$2)))</f>
        <v/>
      </c>
      <c r="AT13" s="70"/>
      <c r="AU13" s="70" t="str">
        <f>IF(OR('_CB Analysis'!$I$25&lt;&gt;"OK",COUNT('Section B Cantilever Beam Check'!$G$16)&lt;&gt;1,'Section B Cantilever Beam Check'!$G$16&lt;0),"",IF(AV13&lt;&gt;'Section B Cantilever Beam Check'!$G$16,$AU$2,'Section B Cantilever Beam Check'!$G$16))</f>
        <v/>
      </c>
      <c r="AV13" s="70" t="str">
        <f>IF(OR('_CB Analysis'!$I$25&lt;&gt;"OK",COUNT('Section B Cantilever Beam Check'!$G$16)&lt;&gt;1,'Section B Cantilever Beam Check'!$G$16&lt;0),"",IF(AV12='Section B Cantilever Beam Check'!$G$16,'Section B Cantilever Beam Check'!$G$16,IF(AV12+$AW$2&gt;$AC$15,'Section B Cantilever Beam Check'!$G$16,AV12+$AW$2)))</f>
        <v/>
      </c>
      <c r="AW13" s="70"/>
      <c r="AX13" s="70" t="str">
        <f>IF(OR('_CB Analysis'!$I$25&lt;&gt;"OK",COUNT('Section B Cantilever Beam Check'!$G$16)&lt;&gt;1,'Section B Cantilever Beam Check'!$G$16&lt;0),"",IF(AY13&lt;&gt;'Section B Cantilever Beam Check'!$G$16,$AX$2,'Section B Cantilever Beam Check'!$G$16))</f>
        <v/>
      </c>
      <c r="AY13" s="70" t="str">
        <f>IF(OR('_CB Analysis'!$I$25&lt;&gt;"OK",COUNT('Section B Cantilever Beam Check'!$G$16)&lt;&gt;1,'Section B Cantilever Beam Check'!$G$16&lt;0),"",IF(AY12='Section B Cantilever Beam Check'!$G$16,'Section B Cantilever Beam Check'!$G$16,IF(AY12+$AZ$2&gt;$AC$15,'Section B Cantilever Beam Check'!$G$16,AY12+$AZ$2)))</f>
        <v/>
      </c>
      <c r="AZ13" s="70"/>
      <c r="BA13" s="70" t="str">
        <f>IF(OR('_CB Analysis'!$I$25&lt;&gt;"OK",COUNT('Section B Cantilever Beam Check'!$G$16)&lt;&gt;1,'Section B Cantilever Beam Check'!$G$16&lt;0),"",IF(BB13&lt;&gt;'Section B Cantilever Beam Check'!$G$16,$BA$2,'Section B Cantilever Beam Check'!$G$16))</f>
        <v/>
      </c>
      <c r="BB13" s="70" t="str">
        <f>IF(OR('_CB Analysis'!$I$25&lt;&gt;"OK",COUNT('Section B Cantilever Beam Check'!$G$16)&lt;&gt;1,'Section B Cantilever Beam Check'!$G$16&lt;0),"",IF(BB12='Section B Cantilever Beam Check'!$G$16,'Section B Cantilever Beam Check'!$G$16,IF(BB12+$BC$2&gt;$AC$15,'Section B Cantilever Beam Check'!$G$16,BB12+$BC$2)))</f>
        <v/>
      </c>
      <c r="BC13" s="73"/>
      <c r="BD13" s="269" t="str">
        <f>IF(OR('_CB Analysis'!$I$25&lt;&gt;"OK",COUNT('Section B Cantilever Beam Check'!$G$16)&lt;&gt;1,'Section B Cantilever Beam Check'!$G$16&lt;0),"",IF(BE13&lt;&gt;'Section B Cantilever Beam Check'!$G$16,$BD$2,'Section B Cantilever Beam Check'!$G$16))</f>
        <v/>
      </c>
      <c r="BE13" s="70" t="str">
        <f>IF(OR('_CB Analysis'!$I$25&lt;&gt;"OK",COUNT('Section B Cantilever Beam Check'!$G$16)&lt;&gt;1,'Section B Cantilever Beam Check'!$G$16&lt;0),"",IF(BE12='Section B Cantilever Beam Check'!$G$16,'Section B Cantilever Beam Check'!$G$16,IF(BE12+$BF$2&gt;$AC$15,'Section B Cantilever Beam Check'!$G$16,BE12+$BF$2)))</f>
        <v/>
      </c>
      <c r="BF13" s="70"/>
      <c r="BG13" s="70" t="str">
        <f>IF(OR('_CB Analysis'!$I$25&lt;&gt;"OK",COUNT('Section B Cantilever Beam Check'!$G$16)&lt;&gt;1,'Section B Cantilever Beam Check'!$G$16&lt;0),"",IF(BH13&lt;&gt;'Section B Cantilever Beam Check'!$G$16,$BG$2,'Section B Cantilever Beam Check'!$G$16))</f>
        <v/>
      </c>
      <c r="BH13" s="70" t="str">
        <f>IF(OR('_CB Analysis'!$I$25&lt;&gt;"OK",COUNT('Section B Cantilever Beam Check'!$G$16)&lt;&gt;1,'Section B Cantilever Beam Check'!$G$16&lt;0),"",IF(BH12='Section B Cantilever Beam Check'!$G$16,'Section B Cantilever Beam Check'!$G$16,IF(BH12+$BI$2&gt;$AC$15,'Section B Cantilever Beam Check'!$G$16,BH12+$BI$2)))</f>
        <v/>
      </c>
      <c r="BI13" s="70"/>
      <c r="BJ13" s="70" t="str">
        <f>IF(OR('_CB Analysis'!$I$25&lt;&gt;"OK",COUNT('Section B Cantilever Beam Check'!$G$16)&lt;&gt;1,'Section B Cantilever Beam Check'!$G$16&lt;0),"",IF(BK13&lt;&gt;'Section B Cantilever Beam Check'!$G$16,$BJ$2,'Section B Cantilever Beam Check'!$G$16))</f>
        <v/>
      </c>
      <c r="BK13" s="70" t="str">
        <f>IF(OR('_CB Analysis'!$I$25&lt;&gt;"OK",COUNT('Section B Cantilever Beam Check'!$G$16)&lt;&gt;1,'Section B Cantilever Beam Check'!$G$16&lt;0),"",IF(BK12='Section B Cantilever Beam Check'!$G$16,'Section B Cantilever Beam Check'!$G$16,IF(BK12+$BL$2&gt;$AC$15,'Section B Cantilever Beam Check'!$G$16,BK12+$BL$2)))</f>
        <v/>
      </c>
      <c r="BL13" s="70"/>
      <c r="BM13" s="70" t="str">
        <f>IF(OR('_CB Analysis'!$I$25&lt;&gt;"OK",COUNT('Section B Cantilever Beam Check'!$G$16)&lt;&gt;1,'Section B Cantilever Beam Check'!$G$16&lt;0),"",IF(BN13&lt;&gt;'Section B Cantilever Beam Check'!$G$16,$BM$2,'Section B Cantilever Beam Check'!$G$16))</f>
        <v/>
      </c>
      <c r="BN13" s="70" t="str">
        <f>IF(OR('_CB Analysis'!$I$25&lt;&gt;"OK",COUNT('Section B Cantilever Beam Check'!$G$16)&lt;&gt;1,'Section B Cantilever Beam Check'!$G$16&lt;0),"",IF(BN12='Section B Cantilever Beam Check'!$G$16,'Section B Cantilever Beam Check'!$G$16,IF(BN12+$BO$2&gt;$AC$15,'Section B Cantilever Beam Check'!$G$16,BN12+$BO$2)))</f>
        <v/>
      </c>
      <c r="BO13" s="73"/>
      <c r="BP13" s="70"/>
      <c r="BQ13" s="70"/>
    </row>
    <row r="14" spans="15:69">
      <c r="P14" s="70">
        <v>12</v>
      </c>
      <c r="Q14" s="70" t="str">
        <f>IF(OR('_CB Analysis'!$I$25&lt;&gt;"OK",COUNT('Section B Cantilever Beam Check'!$G$16)&lt;&gt;1,'Section B Cantilever Beam Check'!$G$16&lt;0),"",MIN('Section B Cantilever Beam Check'!$T$8,P14))</f>
        <v/>
      </c>
      <c r="Y14" s="70">
        <v>0</v>
      </c>
      <c r="Z14" s="70" t="str">
        <f>IF(OR('_CB Analysis'!$I$25&lt;&gt;"OK",COUNT('Section B Cantilever Beam Check'!$G$16)&lt;&gt;1,'Section B Cantilever Beam Check'!$G$16&lt;0),"",'Section B Cantilever Beam Check'!G15)</f>
        <v/>
      </c>
      <c r="AA14" s="70">
        <v>0</v>
      </c>
      <c r="AB14" s="70" t="str">
        <f>IF(OR('_CB Analysis'!$I$25&lt;&gt;"OK",COUNT('Section B Cantilever Beam Check'!$G$16)&lt;&gt;1,'Section B Cantilever Beam Check'!$G$16&lt;0),"",AA15)</f>
        <v/>
      </c>
      <c r="AC14" s="70" t="str">
        <f>IF(OR('_CB Analysis'!$I$25&lt;&gt;"OK",COUNT('Section B Cantilever Beam Check'!$G$16)&lt;&gt;1,'Section B Cantilever Beam Check'!$G$16&lt;0),"",IF(Y14=0,'Section B Cantilever Beam Check'!$G$16,Y14-'Section B Cantilever Beam Check'!$G$16))</f>
        <v/>
      </c>
      <c r="AD14" s="70" t="str">
        <f>IF(OR('_CB Analysis'!$I$25&lt;&gt;"OK",COUNT('Section B Cantilever Beam Check'!$G$16)&lt;&gt;1,'Section B Cantilever Beam Check'!$G$16&lt;0),"",IF(Z14=0,'Section B Cantilever Beam Check'!$G$16,Z14-'Section B Cantilever Beam Check'!$G$16))</f>
        <v/>
      </c>
      <c r="AE14" s="70" t="str">
        <f>IF(OR('_CB Analysis'!$I$25&lt;&gt;"OK",COUNT('Section B Cantilever Beam Check'!$G$16)&lt;&gt;1,'Section B Cantilever Beam Check'!$G$16&lt;0),"",IF(AC14='Section B Cantilever Beam Check'!$G$16,AC14-$AE$11,AC14+$AE$11))</f>
        <v/>
      </c>
      <c r="AF14" s="70" t="str">
        <f>IF(OR('_CB Analysis'!$I$25&lt;&gt;"OK",COUNT('Section B Cantilever Beam Check'!$G$16)&lt;&gt;1,'Section B Cantilever Beam Check'!$G$16&lt;0),"",IF(AD14='Section B Cantilever Beam Check'!$G$16,AD14-$AE$11,AD14+$AE$10))</f>
        <v/>
      </c>
      <c r="AG14" s="70"/>
      <c r="AH14" s="70"/>
      <c r="AI14" s="70"/>
      <c r="AJ14" s="70"/>
      <c r="AK14" s="74">
        <v>8</v>
      </c>
      <c r="AL14" s="70" t="str">
        <f>IF(OR('_CB Analysis'!$I$25&lt;&gt;"OK",COUNT('Section B Cantilever Beam Check'!$G$16)&lt;&gt;1,'Section B Cantilever Beam Check'!$G$16&lt;0),"",AL13)</f>
        <v/>
      </c>
      <c r="AM14" s="70" t="str">
        <f>IF(OR('_CB Analysis'!$I$25&lt;&gt;"OK",COUNT('Section B Cantilever Beam Check'!$G$16)&lt;&gt;1,'Section B Cantilever Beam Check'!$G$16&lt;0),"",IF($AL$3="",$AM$6,IF(AM13+$AL$3&gt;$AM$2,$AM$6,AM13+$AL$3)))</f>
        <v/>
      </c>
      <c r="AN14" s="73" t="str">
        <f>IF(OR('_CB Analysis'!$I$25&lt;&gt;"OK",COUNT('Section B Cantilever Beam Check'!$G$16)&lt;&gt;1,'Section B Cantilever Beam Check'!$G$16&lt;0),"",$AC$15)</f>
        <v/>
      </c>
      <c r="AO14" s="70"/>
      <c r="AP14" s="70"/>
      <c r="AQ14" s="70"/>
      <c r="AR14" s="269" t="str">
        <f>IF(OR('_CB Analysis'!$I$25&lt;&gt;"OK",COUNT('Section B Cantilever Beam Check'!$G$16)&lt;&gt;1,'Section B Cantilever Beam Check'!$G$16&lt;0),"",IF(AS14&lt;&gt;'Section B Cantilever Beam Check'!$G$16,$AR$2,'Section B Cantilever Beam Check'!$G$16))</f>
        <v/>
      </c>
      <c r="AS14" s="70" t="str">
        <f>IF(OR('_CB Analysis'!$I$25&lt;&gt;"OK",COUNT('Section B Cantilever Beam Check'!$G$16)&lt;&gt;1,'Section B Cantilever Beam Check'!$G$16&lt;0),"",IF(AS13='Section B Cantilever Beam Check'!$G$16,'Section B Cantilever Beam Check'!$G$16,IF(AS13+$AT$2&gt;$AC$15,'Section B Cantilever Beam Check'!$G$16,AS13+$AT$2)))</f>
        <v/>
      </c>
      <c r="AT14" s="70"/>
      <c r="AU14" s="70" t="str">
        <f>IF(OR('_CB Analysis'!$I$25&lt;&gt;"OK",COUNT('Section B Cantilever Beam Check'!$G$16)&lt;&gt;1,'Section B Cantilever Beam Check'!$G$16&lt;0),"",IF(AV14&lt;&gt;'Section B Cantilever Beam Check'!$G$16,$AU$2,'Section B Cantilever Beam Check'!$G$16))</f>
        <v/>
      </c>
      <c r="AV14" s="70" t="str">
        <f>IF(OR('_CB Analysis'!$I$25&lt;&gt;"OK",COUNT('Section B Cantilever Beam Check'!$G$16)&lt;&gt;1,'Section B Cantilever Beam Check'!$G$16&lt;0),"",IF(AV13='Section B Cantilever Beam Check'!$G$16,'Section B Cantilever Beam Check'!$G$16,IF(AV13+$AW$2&gt;$AC$15,'Section B Cantilever Beam Check'!$G$16,AV13+$AW$2)))</f>
        <v/>
      </c>
      <c r="AW14" s="70"/>
      <c r="AX14" s="70" t="str">
        <f>IF(OR('_CB Analysis'!$I$25&lt;&gt;"OK",COUNT('Section B Cantilever Beam Check'!$G$16)&lt;&gt;1,'Section B Cantilever Beam Check'!$G$16&lt;0),"",IF(AY14&lt;&gt;'Section B Cantilever Beam Check'!$G$16,$AX$2,'Section B Cantilever Beam Check'!$G$16))</f>
        <v/>
      </c>
      <c r="AY14" s="70" t="str">
        <f>IF(OR('_CB Analysis'!$I$25&lt;&gt;"OK",COUNT('Section B Cantilever Beam Check'!$G$16)&lt;&gt;1,'Section B Cantilever Beam Check'!$G$16&lt;0),"",IF(AY13='Section B Cantilever Beam Check'!$G$16,'Section B Cantilever Beam Check'!$G$16,IF(AY13+$AZ$2&gt;$AC$15,'Section B Cantilever Beam Check'!$G$16,AY13+$AZ$2)))</f>
        <v/>
      </c>
      <c r="AZ14" s="70"/>
      <c r="BA14" s="70" t="str">
        <f>IF(OR('_CB Analysis'!$I$25&lt;&gt;"OK",COUNT('Section B Cantilever Beam Check'!$G$16)&lt;&gt;1,'Section B Cantilever Beam Check'!$G$16&lt;0),"",IF(BB14&lt;&gt;'Section B Cantilever Beam Check'!$G$16,$BA$2,'Section B Cantilever Beam Check'!$G$16))</f>
        <v/>
      </c>
      <c r="BB14" s="70" t="str">
        <f>IF(OR('_CB Analysis'!$I$25&lt;&gt;"OK",COUNT('Section B Cantilever Beam Check'!$G$16)&lt;&gt;1,'Section B Cantilever Beam Check'!$G$16&lt;0),"",IF(BB13='Section B Cantilever Beam Check'!$G$16,'Section B Cantilever Beam Check'!$G$16,IF(BB13+$BC$2&gt;$AC$15,'Section B Cantilever Beam Check'!$G$16,BB13+$BC$2)))</f>
        <v/>
      </c>
      <c r="BC14" s="73"/>
      <c r="BD14" s="269" t="str">
        <f>IF(OR('_CB Analysis'!$I$25&lt;&gt;"OK",COUNT('Section B Cantilever Beam Check'!$G$16)&lt;&gt;1,'Section B Cantilever Beam Check'!$G$16&lt;0),"",IF(BE14&lt;&gt;'Section B Cantilever Beam Check'!$G$16,$BD$2,'Section B Cantilever Beam Check'!$G$16))</f>
        <v/>
      </c>
      <c r="BE14" s="70" t="str">
        <f>IF(OR('_CB Analysis'!$I$25&lt;&gt;"OK",COUNT('Section B Cantilever Beam Check'!$G$16)&lt;&gt;1,'Section B Cantilever Beam Check'!$G$16&lt;0),"",IF(BE13='Section B Cantilever Beam Check'!$G$16,'Section B Cantilever Beam Check'!$G$16,IF(BE13+$BF$2&gt;$AC$15,'Section B Cantilever Beam Check'!$G$16,BE13+$BF$2)))</f>
        <v/>
      </c>
      <c r="BF14" s="70"/>
      <c r="BG14" s="70" t="str">
        <f>IF(OR('_CB Analysis'!$I$25&lt;&gt;"OK",COUNT('Section B Cantilever Beam Check'!$G$16)&lt;&gt;1,'Section B Cantilever Beam Check'!$G$16&lt;0),"",IF(BH14&lt;&gt;'Section B Cantilever Beam Check'!$G$16,$BG$2,'Section B Cantilever Beam Check'!$G$16))</f>
        <v/>
      </c>
      <c r="BH14" s="70" t="str">
        <f>IF(OR('_CB Analysis'!$I$25&lt;&gt;"OK",COUNT('Section B Cantilever Beam Check'!$G$16)&lt;&gt;1,'Section B Cantilever Beam Check'!$G$16&lt;0),"",IF(BH13='Section B Cantilever Beam Check'!$G$16,'Section B Cantilever Beam Check'!$G$16,IF(BH13+$BI$2&gt;$AC$15,'Section B Cantilever Beam Check'!$G$16,BH13+$BI$2)))</f>
        <v/>
      </c>
      <c r="BI14" s="70"/>
      <c r="BJ14" s="70" t="str">
        <f>IF(OR('_CB Analysis'!$I$25&lt;&gt;"OK",COUNT('Section B Cantilever Beam Check'!$G$16)&lt;&gt;1,'Section B Cantilever Beam Check'!$G$16&lt;0),"",IF(BK14&lt;&gt;'Section B Cantilever Beam Check'!$G$16,$BJ$2,'Section B Cantilever Beam Check'!$G$16))</f>
        <v/>
      </c>
      <c r="BK14" s="70" t="str">
        <f>IF(OR('_CB Analysis'!$I$25&lt;&gt;"OK",COUNT('Section B Cantilever Beam Check'!$G$16)&lt;&gt;1,'Section B Cantilever Beam Check'!$G$16&lt;0),"",IF(BK13='Section B Cantilever Beam Check'!$G$16,'Section B Cantilever Beam Check'!$G$16,IF(BK13+$BL$2&gt;$AC$15,'Section B Cantilever Beam Check'!$G$16,BK13+$BL$2)))</f>
        <v/>
      </c>
      <c r="BL14" s="70"/>
      <c r="BM14" s="70" t="str">
        <f>IF(OR('_CB Analysis'!$I$25&lt;&gt;"OK",COUNT('Section B Cantilever Beam Check'!$G$16)&lt;&gt;1,'Section B Cantilever Beam Check'!$G$16&lt;0),"",IF(BN14&lt;&gt;'Section B Cantilever Beam Check'!$G$16,$BM$2,'Section B Cantilever Beam Check'!$G$16))</f>
        <v/>
      </c>
      <c r="BN14" s="70" t="str">
        <f>IF(OR('_CB Analysis'!$I$25&lt;&gt;"OK",COUNT('Section B Cantilever Beam Check'!$G$16)&lt;&gt;1,'Section B Cantilever Beam Check'!$G$16&lt;0),"",IF(BN13='Section B Cantilever Beam Check'!$G$16,'Section B Cantilever Beam Check'!$G$16,IF(BN13+$BO$2&gt;$AC$15,'Section B Cantilever Beam Check'!$G$16,BN13+$BO$2)))</f>
        <v/>
      </c>
      <c r="BO14" s="73"/>
      <c r="BP14" s="70"/>
      <c r="BQ14" s="70"/>
    </row>
    <row r="15" spans="15:69" ht="14.4" thickBot="1">
      <c r="P15" s="70">
        <v>16</v>
      </c>
      <c r="Q15" s="70" t="str">
        <f>IF(OR('_CB Analysis'!$I$25&lt;&gt;"OK",COUNT('Section B Cantilever Beam Check'!$G$16)&lt;&gt;1,'Section B Cantilever Beam Check'!$G$16&lt;0),"",MIN('Section B Cantilever Beam Check'!$T$8,P15))</f>
        <v/>
      </c>
      <c r="Y15" s="70" t="str">
        <f>IF(OR('_CB Analysis'!$I$25&lt;&gt;"OK",COUNT('Section B Cantilever Beam Check'!$G$16)&lt;&gt;1,'Section B Cantilever Beam Check'!$G$16&lt;0),"",'Section B Cantilever Beam Check'!G14)</f>
        <v/>
      </c>
      <c r="Z15" s="70" t="str">
        <f>IF(OR('_CB Analysis'!$I$25&lt;&gt;"OK",COUNT('Section B Cantilever Beam Check'!$G$16)&lt;&gt;1,'Section B Cantilever Beam Check'!$G$16&lt;0),"",'Section B Cantilever Beam Check'!G15)</f>
        <v/>
      </c>
      <c r="AA15" s="70" t="str">
        <f>IF(OR('_CB Analysis'!$I$25&lt;&gt;"OK",COUNT('Section B Cantilever Beam Check'!$G$16)&lt;&gt;1,'Section B Cantilever Beam Check'!$G$16&lt;0),"",MAX('Section B Cantilever Beam Check'!G14:G15))</f>
        <v/>
      </c>
      <c r="AB15" s="70" t="str">
        <f>IF(OR('_CB Analysis'!$I$25&lt;&gt;"OK",COUNT('Section B Cantilever Beam Check'!$G$16)&lt;&gt;1,'Section B Cantilever Beam Check'!$G$16&lt;0),"",AA16)</f>
        <v/>
      </c>
      <c r="AC15" s="70" t="str">
        <f>IF(OR('_CB Analysis'!$I$25&lt;&gt;"OK",COUNT('Section B Cantilever Beam Check'!$G$16)&lt;&gt;1,'Section B Cantilever Beam Check'!$G$16&lt;0),"",IF(Y15=0,'Section B Cantilever Beam Check'!$G$16,Y15-'Section B Cantilever Beam Check'!$G$16))</f>
        <v/>
      </c>
      <c r="AD15" s="70" t="str">
        <f>IF(OR('_CB Analysis'!$I$25&lt;&gt;"OK",COUNT('Section B Cantilever Beam Check'!$G$16)&lt;&gt;1,'Section B Cantilever Beam Check'!$G$16&lt;0),"",IF(Z15=0,'Section B Cantilever Beam Check'!$G$16,Z15-'Section B Cantilever Beam Check'!$G$16))</f>
        <v/>
      </c>
      <c r="AE15" s="70" t="str">
        <f>IF(OR('_CB Analysis'!$I$25&lt;&gt;"OK",COUNT('Section B Cantilever Beam Check'!$G$16)&lt;&gt;1,'Section B Cantilever Beam Check'!$G$16&lt;0),"",IF(AC15='Section B Cantilever Beam Check'!$G$16,AC15-$AE$11,AC15+$AE$11))</f>
        <v/>
      </c>
      <c r="AF15" s="70" t="str">
        <f>IF(OR('_CB Analysis'!$I$25&lt;&gt;"OK",COUNT('Section B Cantilever Beam Check'!$G$16)&lt;&gt;1,'Section B Cantilever Beam Check'!$G$16&lt;0),"",IF(AD15='Section B Cantilever Beam Check'!$G$16,AD15-$AE$11,AD15+$AE$10))</f>
        <v/>
      </c>
      <c r="AG15" s="70"/>
      <c r="AH15" s="70"/>
      <c r="AI15" s="70"/>
      <c r="AJ15" s="70"/>
      <c r="AK15" s="74">
        <v>9</v>
      </c>
      <c r="AL15" s="70" t="str">
        <f>IF(OR('_CB Analysis'!$I$25&lt;&gt;"OK",COUNT('Section B Cantilever Beam Check'!$G$16)&lt;&gt;1,'Section B Cantilever Beam Check'!$G$16&lt;0),"",AL14)</f>
        <v/>
      </c>
      <c r="AM15" s="70" t="str">
        <f>IF(OR('_CB Analysis'!$I$25&lt;&gt;"OK",COUNT('Section B Cantilever Beam Check'!$G$16)&lt;&gt;1,'Section B Cantilever Beam Check'!$G$16&lt;0),"",IF($AL$3="",$AM$6,IF(AM14+$AL$3&gt;$AM$2,$AM$6,AM14+$AL$3)))</f>
        <v/>
      </c>
      <c r="AN15" s="73" t="str">
        <f>IF(OR('_CB Analysis'!$I$25&lt;&gt;"OK",COUNT('Section B Cantilever Beam Check'!$G$16)&lt;&gt;1,'Section B Cantilever Beam Check'!$G$16&lt;0),"",$AC$15)</f>
        <v/>
      </c>
      <c r="AO15" s="70"/>
      <c r="AP15" s="70"/>
      <c r="AQ15" s="70"/>
      <c r="AR15" s="275" t="str">
        <f>IF(OR('_CB Analysis'!$I$25&lt;&gt;"OK",COUNT('Section B Cantilever Beam Check'!$G$16)&lt;&gt;1,'Section B Cantilever Beam Check'!$G$16&lt;0),"",IF(AS15&lt;&gt;'Section B Cantilever Beam Check'!$G$16,$AR$2,'Section B Cantilever Beam Check'!$G$16))</f>
        <v/>
      </c>
      <c r="AS15" s="75" t="str">
        <f>IF(OR('_CB Analysis'!$I$25&lt;&gt;"OK",COUNT('Section B Cantilever Beam Check'!$G$16)&lt;&gt;1,'Section B Cantilever Beam Check'!$G$16&lt;0),"",IF(AS14='Section B Cantilever Beam Check'!$G$16,'Section B Cantilever Beam Check'!$G$16,IF(AS14+$AT$2&gt;$AC$15,'Section B Cantilever Beam Check'!$G$16,AS14+$AT$2)))</f>
        <v/>
      </c>
      <c r="AT15" s="75"/>
      <c r="AU15" s="75" t="str">
        <f>IF(OR('_CB Analysis'!$I$25&lt;&gt;"OK",COUNT('Section B Cantilever Beam Check'!$G$16)&lt;&gt;1,'Section B Cantilever Beam Check'!$G$16&lt;0),"",IF(AV15&lt;&gt;'Section B Cantilever Beam Check'!$G$16,$AU$2,'Section B Cantilever Beam Check'!$G$16))</f>
        <v/>
      </c>
      <c r="AV15" s="75" t="str">
        <f>IF(OR('_CB Analysis'!$I$25&lt;&gt;"OK",COUNT('Section B Cantilever Beam Check'!$G$16)&lt;&gt;1,'Section B Cantilever Beam Check'!$G$16&lt;0),"",IF(AV14='Section B Cantilever Beam Check'!$G$16,'Section B Cantilever Beam Check'!$G$16,IF(AV14+$AW$2&gt;$AC$15,'Section B Cantilever Beam Check'!$G$16,AV14+$AW$2)))</f>
        <v/>
      </c>
      <c r="AW15" s="75"/>
      <c r="AX15" s="75" t="str">
        <f>IF(OR('_CB Analysis'!$I$25&lt;&gt;"OK",COUNT('Section B Cantilever Beam Check'!$G$16)&lt;&gt;1,'Section B Cantilever Beam Check'!$G$16&lt;0),"",IF(AY15&lt;&gt;'Section B Cantilever Beam Check'!$G$16,$AU$2,'Section B Cantilever Beam Check'!$G$16))</f>
        <v/>
      </c>
      <c r="AY15" s="75" t="str">
        <f>IF(OR('_CB Analysis'!$I$25&lt;&gt;"OK",COUNT('Section B Cantilever Beam Check'!$G$16)&lt;&gt;1,'Section B Cantilever Beam Check'!$G$16&lt;0),"",IF(AY14='Section B Cantilever Beam Check'!$G$16,'Section B Cantilever Beam Check'!$G$16,IF(AY14+$AZ$2&gt;$AC$15,'Section B Cantilever Beam Check'!$G$16,AY14+$AZ$2)))</f>
        <v/>
      </c>
      <c r="AZ15" s="75"/>
      <c r="BA15" s="75" t="str">
        <f>IF(OR('_CB Analysis'!$I$25&lt;&gt;"OK",COUNT('Section B Cantilever Beam Check'!$G$16)&lt;&gt;1,'Section B Cantilever Beam Check'!$G$16&lt;0),"",IF(BB15&lt;&gt;'Section B Cantilever Beam Check'!$G$16,$BA$2,'Section B Cantilever Beam Check'!$G$16))</f>
        <v/>
      </c>
      <c r="BB15" s="75" t="str">
        <f>IF(OR('_CB Analysis'!$I$25&lt;&gt;"OK",COUNT('Section B Cantilever Beam Check'!$G$16)&lt;&gt;1,'Section B Cantilever Beam Check'!$G$16&lt;0),"",IF(BB14='Section B Cantilever Beam Check'!$G$16,'Section B Cantilever Beam Check'!$G$16,IF(BB14+$BC$2&gt;$AC$15,'Section B Cantilever Beam Check'!$G$16,BB14+$BC$2)))</f>
        <v/>
      </c>
      <c r="BC15" s="78"/>
      <c r="BD15" s="275" t="str">
        <f>IF(OR('_CB Analysis'!$I$25&lt;&gt;"OK",COUNT('Section B Cantilever Beam Check'!$G$16)&lt;&gt;1,'Section B Cantilever Beam Check'!$G$16&lt;0),"",IF(BE15&lt;&gt;'Section B Cantilever Beam Check'!$G$16,$BD$2,'Section B Cantilever Beam Check'!$G$16))</f>
        <v/>
      </c>
      <c r="BE15" s="75" t="str">
        <f>IF(OR('_CB Analysis'!$I$25&lt;&gt;"OK",COUNT('Section B Cantilever Beam Check'!$G$16)&lt;&gt;1,'Section B Cantilever Beam Check'!$G$16&lt;0),"",IF(BE14='Section B Cantilever Beam Check'!$G$16,'Section B Cantilever Beam Check'!$G$16,IF(BE14+$BF$2&gt;$AC$15,'Section B Cantilever Beam Check'!$G$16,BE14+$BF$2)))</f>
        <v/>
      </c>
      <c r="BF15" s="75"/>
      <c r="BG15" s="75" t="str">
        <f>IF(OR('_CB Analysis'!$I$25&lt;&gt;"OK",COUNT('Section B Cantilever Beam Check'!$G$16)&lt;&gt;1,'Section B Cantilever Beam Check'!$G$16&lt;0),"",IF(BH15&lt;&gt;'Section B Cantilever Beam Check'!$G$16,$BG$2,'Section B Cantilever Beam Check'!$G$16))</f>
        <v/>
      </c>
      <c r="BH15" s="75" t="str">
        <f>IF(OR('_CB Analysis'!$I$25&lt;&gt;"OK",COUNT('Section B Cantilever Beam Check'!$G$16)&lt;&gt;1,'Section B Cantilever Beam Check'!$G$16&lt;0),"",IF(BH14='Section B Cantilever Beam Check'!$G$16,'Section B Cantilever Beam Check'!$G$16,IF(BH14+$BI$2&gt;$AC$15,'Section B Cantilever Beam Check'!$G$16,BH14+$BI$2)))</f>
        <v/>
      </c>
      <c r="BI15" s="75"/>
      <c r="BJ15" s="75" t="str">
        <f>IF(OR('_CB Analysis'!$I$25&lt;&gt;"OK",COUNT('Section B Cantilever Beam Check'!$G$16)&lt;&gt;1,'Section B Cantilever Beam Check'!$G$16&lt;0),"",IF(BK15&lt;&gt;'Section B Cantilever Beam Check'!$G$16,$BJ$2,'Section B Cantilever Beam Check'!$G$16))</f>
        <v/>
      </c>
      <c r="BK15" s="75" t="str">
        <f>IF(OR('_CB Analysis'!$I$25&lt;&gt;"OK",COUNT('Section B Cantilever Beam Check'!$G$16)&lt;&gt;1,'Section B Cantilever Beam Check'!$G$16&lt;0),"",IF(BK14='Section B Cantilever Beam Check'!$G$16,'Section B Cantilever Beam Check'!$G$16,IF(BK14+$BL$2&gt;$AC$15,'Section B Cantilever Beam Check'!$G$16,BK14+$BL$2)))</f>
        <v/>
      </c>
      <c r="BL15" s="75"/>
      <c r="BM15" s="75" t="str">
        <f>IF(OR('_CB Analysis'!$I$25&lt;&gt;"OK",COUNT('Section B Cantilever Beam Check'!$G$16)&lt;&gt;1,'Section B Cantilever Beam Check'!$G$16&lt;0),"",IF(BN15&lt;&gt;'Section B Cantilever Beam Check'!$G$16,$BM$2,'Section B Cantilever Beam Check'!$G$16))</f>
        <v/>
      </c>
      <c r="BN15" s="75" t="str">
        <f>IF(OR('_CB Analysis'!$I$25&lt;&gt;"OK",COUNT('Section B Cantilever Beam Check'!$G$16)&lt;&gt;1,'Section B Cantilever Beam Check'!$G$16&lt;0),"",IF(BN14='Section B Cantilever Beam Check'!$G$16,'Section B Cantilever Beam Check'!$G$16,IF(BN14+$BO$2&gt;$AC$15,'Section B Cantilever Beam Check'!$G$16,BN14+$BO$2)))</f>
        <v/>
      </c>
      <c r="BO15" s="78"/>
      <c r="BP15" s="70"/>
      <c r="BQ15" s="70"/>
    </row>
    <row r="16" spans="15:69" ht="14.4" thickBot="1">
      <c r="P16" s="70">
        <v>20</v>
      </c>
      <c r="Q16" s="70" t="str">
        <f>IF(OR('_CB Analysis'!$I$25&lt;&gt;"OK",COUNT('Section B Cantilever Beam Check'!$G$16)&lt;&gt;1,'Section B Cantilever Beam Check'!$G$16&lt;0),"",MIN('Section B Cantilever Beam Check'!$T$8,P16))</f>
        <v/>
      </c>
      <c r="Y16" s="70" t="str">
        <f>IF(OR('_CB Analysis'!$I$25&lt;&gt;"OK",COUNT('Section B Cantilever Beam Check'!$G$16)&lt;&gt;1,'Section B Cantilever Beam Check'!$G$16&lt;0),"",'Section B Cantilever Beam Check'!G14)</f>
        <v/>
      </c>
      <c r="Z16" s="70">
        <v>0</v>
      </c>
      <c r="AA16" s="70" t="str">
        <f>IF(OR('_CB Analysis'!$I$25&lt;&gt;"OK",COUNT('Section B Cantilever Beam Check'!$G$16)&lt;&gt;1,'Section B Cantilever Beam Check'!$G$16&lt;0),"",AA15)</f>
        <v/>
      </c>
      <c r="AB16" s="70">
        <v>0</v>
      </c>
      <c r="AC16" s="70" t="str">
        <f>IF(OR('_CB Analysis'!$I$25&lt;&gt;"OK",COUNT('Section B Cantilever Beam Check'!$G$16)&lt;&gt;1,'Section B Cantilever Beam Check'!$G$16&lt;0),"",IF(Y16=0,'Section B Cantilever Beam Check'!$G$16,Y16-'Section B Cantilever Beam Check'!$G$16))</f>
        <v/>
      </c>
      <c r="AD16" s="70" t="str">
        <f>IF(OR('_CB Analysis'!$I$25&lt;&gt;"OK",COUNT('Section B Cantilever Beam Check'!$G$16)&lt;&gt;1,'Section B Cantilever Beam Check'!$G$16&lt;0),"",IF(Z16=0,'Section B Cantilever Beam Check'!$G$16,Z16-'Section B Cantilever Beam Check'!$G$16))</f>
        <v/>
      </c>
      <c r="AE16" s="70" t="str">
        <f>IF(OR('_CB Analysis'!$I$25&lt;&gt;"OK",COUNT('Section B Cantilever Beam Check'!$G$16)&lt;&gt;1,'Section B Cantilever Beam Check'!$G$16&lt;0),"",IF(AC16='Section B Cantilever Beam Check'!$G$16,AC16-$AE$11,AC16+$AE$11))</f>
        <v/>
      </c>
      <c r="AF16" s="70" t="str">
        <f>IF(OR('_CB Analysis'!$I$25&lt;&gt;"OK",COUNT('Section B Cantilever Beam Check'!$G$16)&lt;&gt;1,'Section B Cantilever Beam Check'!$G$16&lt;0),"",IF(AD16='Section B Cantilever Beam Check'!$G$16,AD16-$AE$11,AD16+$AE$10))</f>
        <v/>
      </c>
      <c r="AG16" s="70"/>
      <c r="AH16" s="70"/>
      <c r="AI16" s="70"/>
      <c r="AJ16" s="70"/>
      <c r="AK16" s="79">
        <v>10</v>
      </c>
      <c r="AL16" s="75" t="str">
        <f>IF(OR('_CB Analysis'!$I$25&lt;&gt;"OK",COUNT('Section B Cantilever Beam Check'!$G$16)&lt;&gt;1,'Section B Cantilever Beam Check'!$G$16&lt;0),"",AL15)</f>
        <v/>
      </c>
      <c r="AM16" s="75" t="str">
        <f>IF(OR('_CB Analysis'!$I$25&lt;&gt;"OK",COUNT('Section B Cantilever Beam Check'!$G$16)&lt;&gt;1,'Section B Cantilever Beam Check'!$G$16&lt;0),"",IF($AL$3="",$AM$6,IF(AM15+$AL$3&gt;$AM$2,$AM$6,AM15+$AL$3)))</f>
        <v/>
      </c>
      <c r="AN16" s="78" t="str">
        <f>IF(OR('_CB Analysis'!$I$25&lt;&gt;"OK",COUNT('Section B Cantilever Beam Check'!$G$16)&lt;&gt;1,'Section B Cantilever Beam Check'!$G$16&lt;0),"",$AC$15)</f>
        <v/>
      </c>
      <c r="AO16" s="70"/>
      <c r="AP16" s="70"/>
      <c r="AQ16" s="70"/>
      <c r="AR16" s="70" t="str">
        <f>IF(OR('_CB Analysis'!$I$25&lt;&gt;"OK",COUNT('Section B Cantilever Beam Check'!$G$16)&lt;&gt;1,'Section B Cantilever Beam Check'!$G$16&lt;0),"",IF(AR2='Section B Cantilever Beam Check'!$G$16,9999999999999,AR2))</f>
        <v/>
      </c>
      <c r="AS16" s="70"/>
      <c r="AT16" s="70"/>
      <c r="AU16" s="70" t="str">
        <f>IF(OR('_CB Analysis'!$I$25&lt;&gt;"OK",COUNT('Section B Cantilever Beam Check'!$G$16)&lt;&gt;1,'Section B Cantilever Beam Check'!$G$16&lt;0),"",IF(AU2='Section B Cantilever Beam Check'!$G$16,9999999999999,AU2))</f>
        <v/>
      </c>
      <c r="AV16" s="70"/>
      <c r="AW16" s="70"/>
      <c r="AX16" s="70" t="str">
        <f>IF(OR('_CB Analysis'!$I$25&lt;&gt;"OK",COUNT('Section B Cantilever Beam Check'!$G$16)&lt;&gt;1,'Section B Cantilever Beam Check'!$G$16&lt;0),"",IF(AX2='Section B Cantilever Beam Check'!$G$16,9999999999999,AX2))</f>
        <v/>
      </c>
      <c r="AY16" s="70"/>
      <c r="AZ16" s="70"/>
      <c r="BA16" s="70" t="str">
        <f>IF(OR('_CB Analysis'!$I$25&lt;&gt;"OK",COUNT('Section B Cantilever Beam Check'!$G$16)&lt;&gt;1,'Section B Cantilever Beam Check'!$G$16&lt;0),"",IF(BA2='Section B Cantilever Beam Check'!$G$16,9999999999999,BA2))</f>
        <v/>
      </c>
      <c r="BB16" s="70"/>
      <c r="BC16" s="70"/>
      <c r="BD16" s="70" t="str">
        <f>IF(OR('_CB Analysis'!$I$25&lt;&gt;"OK",COUNT('Section B Cantilever Beam Check'!$G$16)&lt;&gt;1,'Section B Cantilever Beam Check'!$G$16&lt;0),"",BD2)</f>
        <v/>
      </c>
      <c r="BE16" s="70"/>
      <c r="BF16" s="70"/>
      <c r="BG16" s="70" t="str">
        <f>IF(OR('_CB Analysis'!$I$25&lt;&gt;"OK",COUNT('Section B Cantilever Beam Check'!$G$16)&lt;&gt;1,'Section B Cantilever Beam Check'!$G$16&lt;0),"",BG2)</f>
        <v/>
      </c>
      <c r="BH16" s="70"/>
      <c r="BI16" s="70"/>
      <c r="BJ16" s="70" t="str">
        <f>IF(OR('_CB Analysis'!$I$25&lt;&gt;"OK",COUNT('Section B Cantilever Beam Check'!$G$16)&lt;&gt;1,'Section B Cantilever Beam Check'!$G$16&lt;0),"",BJ2)</f>
        <v/>
      </c>
      <c r="BK16" s="70"/>
      <c r="BL16" s="70"/>
      <c r="BM16" s="70" t="str">
        <f>IF(OR('_CB Analysis'!$I$25&lt;&gt;"OK",COUNT('Section B Cantilever Beam Check'!$G$16)&lt;&gt;1,'Section B Cantilever Beam Check'!$G$16&lt;0),"",BM2)</f>
        <v/>
      </c>
      <c r="BN16" s="70"/>
      <c r="BO16" s="70"/>
      <c r="BP16" s="70"/>
      <c r="BQ16" s="70"/>
    </row>
    <row r="17" spans="16:69">
      <c r="P17" s="70">
        <v>25</v>
      </c>
      <c r="Q17" s="70" t="str">
        <f>IF(OR('_CB Analysis'!$I$25&lt;&gt;"OK",COUNT('Section B Cantilever Beam Check'!$G$16)&lt;&gt;1,'Section B Cantilever Beam Check'!$G$16&lt;0),"",MIN('Section B Cantilever Beam Check'!$T$8,P17))</f>
        <v/>
      </c>
      <c r="R17" s="71" t="str">
        <f>IF(OR('_CB Analysis'!$I$25&lt;&gt;"OK",COUNT('Section B Cantilever Beam Check'!$G$16)&lt;&gt;1,'Section B Cantilever Beam Check'!$G$16&lt;0),"",'Section B Cantilever Beam Check'!O40)</f>
        <v/>
      </c>
      <c r="Y17" s="70">
        <v>0</v>
      </c>
      <c r="Z17" s="70">
        <v>0</v>
      </c>
      <c r="AA17" s="70">
        <v>0</v>
      </c>
      <c r="AB17" s="70">
        <v>0</v>
      </c>
      <c r="AC17" s="70" t="str">
        <f>IF(OR('_CB Analysis'!$I$25&lt;&gt;"OK",COUNT('Section B Cantilever Beam Check'!$G$16)&lt;&gt;1,'Section B Cantilever Beam Check'!$G$16&lt;0),"",IF(Y17=0,'Section B Cantilever Beam Check'!$G$16,Y17-'Section B Cantilever Beam Check'!$G$16))</f>
        <v/>
      </c>
      <c r="AD17" s="70" t="str">
        <f>IF(OR('_CB Analysis'!$I$25&lt;&gt;"OK",COUNT('Section B Cantilever Beam Check'!$G$16)&lt;&gt;1,'Section B Cantilever Beam Check'!$G$16&lt;0),"",IF(Z17=0,'Section B Cantilever Beam Check'!$G$16,Z17-'Section B Cantilever Beam Check'!$G$16))</f>
        <v/>
      </c>
      <c r="AE17" s="70" t="str">
        <f>IF(OR('_CB Analysis'!$I$25&lt;&gt;"OK",COUNT('Section B Cantilever Beam Check'!$G$16)&lt;&gt;1,'Section B Cantilever Beam Check'!$G$16&lt;0),"",IF(AC17='Section B Cantilever Beam Check'!$G$16,AC17-$AE$11,AC17+$AE$11))</f>
        <v/>
      </c>
      <c r="AF17" s="70" t="str">
        <f>IF(OR('_CB Analysis'!$I$25&lt;&gt;"OK",COUNT('Section B Cantilever Beam Check'!$G$16)&lt;&gt;1,'Section B Cantilever Beam Check'!$G$16&lt;0),"",IF(AD17='Section B Cantilever Beam Check'!$G$16,AD17-$AE$11,AD17+$AE$10))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IF(OR('_CB Analysis'!$I$25&lt;&gt;"OK",COUNT('Section B Cantilever Beam Check'!$G$16)&lt;&gt;1,'Section B Cantilever Beam Check'!$G$16&lt;0),"",MIN('Section B Cantilever Beam Check'!$T$8,P18))</f>
        <v/>
      </c>
      <c r="R18" s="71" t="str">
        <f>IF(OR('_CB Analysis'!$I$25&lt;&gt;"OK",COUNT('Section B Cantilever Beam Check'!$G$16)&lt;&gt;1,'Section B Cantilever Beam Check'!$G$16&lt;0),"",'Section B Cantilever Beam Check'!O44)</f>
        <v/>
      </c>
      <c r="Y18" s="70"/>
      <c r="Z18" s="70"/>
      <c r="AA18" s="70"/>
      <c r="AB18" s="70"/>
      <c r="AC18" s="70"/>
      <c r="AD18" s="70"/>
      <c r="AE18" s="70"/>
      <c r="AF18" s="70"/>
      <c r="AG18" s="70"/>
      <c r="AH18" s="70"/>
      <c r="AI18" s="70"/>
      <c r="AJ18" s="70"/>
      <c r="AK18" s="70"/>
      <c r="AL18" s="70"/>
      <c r="AM18" s="70"/>
      <c r="AN18" s="70"/>
      <c r="AO18" s="70"/>
      <c r="AP18" s="70"/>
      <c r="AQ18" s="70"/>
      <c r="AR18" s="70">
        <v>0</v>
      </c>
      <c r="AS18" s="70" t="str">
        <f>IF(OR('_CB Analysis'!$I$25&lt;&gt;"OK",COUNT('Section B Cantilever Beam Check'!$G$16)&lt;&gt;1,'Section B Cantilever Beam Check'!$G$16&lt;0),"",Z14)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IF(OR('_CB Analysis'!$I$25&lt;&gt;"OK",COUNT('Section B Cantilever Beam Check'!$G$16)&lt;&gt;1,'Section B Cantilever Beam Check'!$G$16&lt;0),"",MIN('Section B Cantilever Beam Check'!$T$8,P19))</f>
        <v/>
      </c>
      <c r="R19" s="71" t="str">
        <f>IF(OR('_CB Analysis'!$I$25&lt;&gt;"OK",COUNT('Section B Cantilever Beam Check'!$G$16)&lt;&gt;1,'Section B Cantilever Beam Check'!$G$16&lt;0),"",'_CB Helpers'!O52)</f>
        <v/>
      </c>
      <c r="Y19" s="70"/>
      <c r="Z19" s="70"/>
      <c r="AA19" s="70"/>
      <c r="AB19" s="70"/>
      <c r="AC19" s="70"/>
      <c r="AD19" s="70"/>
      <c r="AE19" s="70"/>
      <c r="AF19" s="70"/>
      <c r="AG19" s="70"/>
      <c r="AH19" s="70"/>
      <c r="AI19" s="70"/>
      <c r="AJ19" s="70"/>
      <c r="AK19" s="70"/>
      <c r="AL19" s="70"/>
      <c r="AM19" s="70"/>
      <c r="AN19" s="70"/>
      <c r="AO19" s="70"/>
      <c r="AP19" s="70"/>
      <c r="AQ19" s="70"/>
      <c r="AR19" s="70" t="str">
        <f>IF(OR('_CB Analysis'!$I$25&lt;&gt;"OK",COUNT('Section B Cantilever Beam Check'!$G$16)&lt;&gt;1,'Section B Cantilever Beam Check'!$G$16&lt;0),"",Y15)</f>
        <v/>
      </c>
      <c r="AS19" s="70" t="str">
        <f>IF(OR('_CB Analysis'!$I$25&lt;&gt;"OK",COUNT('Section B Cantilever Beam Check'!$G$16)&lt;&gt;1,'Section B Cantilever Beam Check'!$G$16&lt;0),"",Z15)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IF(OR('_CB Analysis'!$I$25&lt;&gt;"OK",COUNT('Section B Cantilever Beam Check'!$G$16)&lt;&gt;1,'Section B Cantilever Beam Check'!$G$16&lt;0),"",Y16)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IF(OR('_CB Analysis'!$I$25&lt;&gt;"OK",COUNT('Section B Cantilever Beam Check'!$G$16)&lt;&gt;1,'Section B Cantilever Beam Check'!$G$16&lt;0),"",'_CB Helpers'!O59)</f>
        <v/>
      </c>
      <c r="T21" s="276" t="str">
        <f>IF(OR('_CB Analysis'!$I$25&lt;&gt;"OK",COUNT('Section B Cantilever Beam Check'!$G$16)&lt;&gt;1,'Section B Cantilever Beam Check'!$G$16&lt;0),"",IF(AND('Section B Cantilever Beam Check'!N40="OKAY",'Section B Cantilever Beam Check'!N44="OKAY",'Section B Cantilever Beam Check'!N52="OKAY",'Section B Cantilever Beam Check'!N59="OKAY",'Section B Cantilever Beam Check'!N69="OKAY",'Section B Cantilever Beam Check'!N77="OKAY",'Section B Cantilever Beam Check'!N78="OKAY",'Section B Cantilever Beam Check'!N87="OKAY"),"OKAY","NOT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IF(OR('_CB Analysis'!$I$25&lt;&gt;"OK",COUNT('Section B Cantilever Beam Check'!$G$16)&lt;&gt;1,'Section B Cantilever Beam Check'!$G$16&lt;0),"",'_CB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Cantilever Beam Check'!T35</f>
        <v>CB1|0|0|0|||0</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7" t="str">
        <f>IF(IFERROR(INDEX('_CB Analysis'!BF6:BF25,T37-5),"")="MANUAL","MANUAL mode: adopted steel retained.","AUTO mode: inputs trigger reinforcement selection.")</f>
        <v>AUTO mode: inputs trigger reinforcement selection.</v>
      </c>
      <c r="S38" s="567"/>
      <c r="T38" s="567"/>
      <c r="U38" s="567"/>
      <c r="V38" s="567"/>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7"/>
      <c r="S39" s="567"/>
      <c r="T39" s="567"/>
      <c r="U39" s="567"/>
      <c r="V39" s="567"/>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IF(OR('_CB Analysis'!$I$25&lt;&gt;"OK",COUNT('Section B Cantilever Beam Check'!$G$16)&lt;&gt;1,'Section B Cantilever Beam Check'!$G$16&lt;0),"",CBBeamLayerDepth(40,0,'Section B Cantilever Beam Check'!$C$40:$D$47,'Section B Cantilever Beam Check'!$C$110:$D$117,'Section B Cantilever Beam Check'!$G$14:$G$16,'Section B Cantilever Beam Check'!$G$58))</f>
        <v/>
      </c>
      <c r="Q40" s="70" t="str">
        <f>IF(OR('_CB Analysis'!$I$25&lt;&gt;"OK",COUNT('Section B Cantilever Beam Check'!$G$16)&lt;&gt;1,'Section B Cantilever Beam Check'!$G$16&lt;0),"",CBBeamDepth(40,'Section B Cantilever Beam Check'!$C$40:$D$47,'Section B Cantilever Beam Check'!$C$110:$D$117,'Section B Cantilever Beam Check'!$G$14:$G$16,'Section B Cantilever Beam Check'!$G$58))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IF(OR('_CB Analysis'!$I$25&lt;&gt;"OK",COUNT('Section B Cantilever Beam Check'!$G$16)&lt;&gt;1,'Section B Cantilever Beam Check'!$G$16&lt;0),"",CBBeamLayerDepth(40,1,'Section B Cantilever Beam Check'!$C$40:$D$47,'Section B Cantilever Beam Check'!$C$110:$D$117,'Section B Cantilever Beam Check'!$G$14:$G$16,'Section B Cantilever Beam Check'!$G$58))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IF(OR('_CB Analysis'!$I$25&lt;&gt;"OK",COUNT('Section B Cantilever Beam Check'!$G$16)&lt;&gt;1,'Section B Cantilever Beam Check'!$G$16&lt;0),"",CBBeamLayerDepth(40,2,'Section B Cantilever Beam Check'!$C$40:$D$47,'Section B Cantilever Beam Check'!$C$110:$D$117,'Section B Cantilever Beam Check'!$G$14:$G$16,'Section B Cantilever Beam Check'!$G$58))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IF(OR('_CB Analysis'!$I$25&lt;&gt;"OK",COUNT('Section B Cantilever Beam Check'!$G$16)&lt;&gt;1,'Section B Cantilever Beam Check'!$G$16&lt;0),"",CBBeamLayerDepth(40,3,'Section B Cantilever Beam Check'!$C$40:$D$47,'Section B Cantilever Beam Check'!$C$110:$D$117,'Section B Cantilever Beam Check'!$G$14:$G$16,'Section B Cantilever Beam Check'!$G$58))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IF(OR('_CB Analysis'!$I$25&lt;&gt;"OK",COUNT('Section B Cantilever Beam Check'!$G$16)&lt;&gt;1,'Section B Cantilever Beam Check'!$G$16&lt;0),"",CBBeamLayerDepth(44,0,'Section B Cantilever Beam Check'!$C$40:$D$47,'Section B Cantilever Beam Check'!$C$110:$D$117,'Section B Cantilever Beam Check'!$G$14:$G$16,'Section B Cantilever Beam Check'!$G$58))</f>
        <v/>
      </c>
      <c r="Q44" s="70" t="str">
        <f>IF(OR('_CB Analysis'!$I$25&lt;&gt;"OK",COUNT('Section B Cantilever Beam Check'!$G$16)&lt;&gt;1,'Section B Cantilever Beam Check'!$G$16&lt;0),"",CBBeamDepth(44,'Section B Cantilever Beam Check'!$C$40:$D$47,'Section B Cantilever Beam Check'!$C$110:$D$117,'Section B Cantilever Beam Check'!$G$14:$G$16,'Section B Cantilever Beam Check'!$G$58))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IF(OR('_CB Analysis'!$I$25&lt;&gt;"OK",COUNT('Section B Cantilever Beam Check'!$G$16)&lt;&gt;1,'Section B Cantilever Beam Check'!$G$16&lt;0),"",CBBeamLayerDepth(44,1,'Section B Cantilever Beam Check'!$C$40:$D$47,'Section B Cantilever Beam Check'!$C$110:$D$117,'Section B Cantilever Beam Check'!$G$14:$G$16,'Section B Cantilever Beam Check'!$G$58))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IF(OR('_CB Analysis'!$I$25&lt;&gt;"OK",COUNT('Section B Cantilever Beam Check'!$G$16)&lt;&gt;1,'Section B Cantilever Beam Check'!$G$16&lt;0),"",CBBeamLayerDepth(44,2,'Section B Cantilever Beam Check'!$C$40:$D$47,'Section B Cantilever Beam Check'!$C$110:$D$117,'Section B Cantilever Beam Check'!$G$14:$G$16,'Section B Cantilever Beam Check'!$G$58))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IF(OR('_CB Analysis'!$I$25&lt;&gt;"OK",COUNT('Section B Cantilever Beam Check'!$G$16)&lt;&gt;1,'Section B Cantilever Beam Check'!$G$16&lt;0),"",CBBeamLayerDepth(44,3,'Section B Cantilever Beam Check'!$C$40:$D$47,'Section B Cantilever Beam Check'!$C$110:$D$117,'Section B Cantilever Beam Check'!$G$14:$G$16,'Section B Cantilever Beam Check'!$G$58))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IF(OR('_CB Analysis'!$I$25&lt;&gt;"OK",COUNT('Section B Cantilever Beam Check'!$G$16)&lt;&gt;1,'Section B Cantilever Beam Check'!$G$16&lt;0),"",MIN(P51,'Section B Cantilever Beam Check'!$T$9))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IF(OR('_CB Analysis'!$I$25&lt;&gt;"OK",COUNT('Section B Cantilever Beam Check'!$G$16)&lt;&gt;1,'Section B Cantilever Beam Check'!$G$16&lt;0),"",IF('Section B Cantilever Beam Check'!K51&lt;(MIN('Section B Cantilever Beam Check'!G52,0.8*'Section B Cantilever Beam Check'!G17^0.5)),"","Provide large section"))</f>
        <v/>
      </c>
      <c r="P52" s="70">
        <v>275</v>
      </c>
      <c r="Q52" s="70" t="str">
        <f>IF(OR('_CB Analysis'!$I$25&lt;&gt;"OK",COUNT('Section B Cantilever Beam Check'!$G$16)&lt;&gt;1,'Section B Cantilever Beam Check'!$G$16&lt;0),"",MIN(P52,'Section B Cantilever Beam Check'!$T$9))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IF(OR('_CB Analysis'!$I$25&lt;&gt;"OK",COUNT('Section B Cantilever Beam Check'!$G$16)&lt;&gt;1,'Section B Cantilever Beam Check'!$G$16&lt;0),"",MIN(P53,'Section B Cantilever Beam Check'!$T$9))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IF(OR('_CB Analysis'!$I$25&lt;&gt;"OK",COUNT('Section B Cantilever Beam Check'!$G$16)&lt;&gt;1,'Section B Cantilever Beam Check'!$G$16&lt;0),"",MIN(P54,'Section B Cantilever Beam Check'!$T$9))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IF(OR('_CB Analysis'!$I$25&lt;&gt;"OK",COUNT('Section B Cantilever Beam Check'!$G$16)&lt;&gt;1,'Section B Cantilever Beam Check'!$G$16&lt;0),"",MIN(P55,'Section B Cantilever Beam Check'!$T$9))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IF(OR('_CB Analysis'!$I$25&lt;&gt;"OK",COUNT('Section B Cantilever Beam Check'!$G$16)&lt;&gt;1,'Section B Cantilever Beam Check'!$G$16&lt;0),"",MIN(P56,'Section B Cantilever Beam Check'!$T$9))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IF(OR('_CB Analysis'!$I$25&lt;&gt;"OK",COUNT('Section B Cantilever Beam Check'!$G$16)&lt;&gt;1,'Section B Cantilever Beam Check'!$G$16&lt;0),"",MIN(P57,'Section B Cantilever Beam Check'!$T$9))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IF(OR('_CB Analysis'!$I$25&lt;&gt;"OK",COUNT('Section B Cantilever Beam Check'!$G$16)&lt;&gt;1,'Section B Cantilever Beam Check'!$G$16&lt;0),"",MIN(P58,'Section B Cantilever Beam Check'!$T$9))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IF(OR('_CB Analysis'!$I$25&lt;&gt;"OK",COUNT('Section B Cantilever Beam Check'!$G$16)&lt;&gt;1,'Section B Cantilever Beam Check'!$G$16&lt;0),"",IF('Section B Cantilever Beam Check'!K58&gt;'Section B Cantilever Beam Check'!K56,IF('Section B Cantilever Beam Check'!H58&lt;0.75*'Section B Cantilever Beam Check'!G29,"","Increase space"),"Provide more links"))</f>
        <v/>
      </c>
      <c r="P59" s="70">
        <v>100</v>
      </c>
      <c r="Q59" s="70" t="str">
        <f>IF(OR('_CB Analysis'!$I$25&lt;&gt;"OK",COUNT('Section B Cantilever Beam Check'!$G$16)&lt;&gt;1,'Section B Cantilever Beam Check'!$G$16&lt;0),"",MIN(P59,'Section B Cantilever Beam Check'!$T$9))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IF(OR('_CB Analysis'!$I$25&lt;&gt;"OK",COUNT('Section B Cantilever Beam Check'!$G$16)&lt;&gt;1,'Section B Cantilever Beam Check'!$G$16&lt;0),"","T"&amp;'Section B Cantilever Beam Check'!G58&amp;"-"&amp;'Section B Cantilever Beam Check'!H58&amp;"("&amp;'Section B Cantilever Beam Check'!E58&amp;" "&amp;'Section B Cantilever Beam Check'!F58&amp;")")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IF(OR('_CB Analysis'!$I$25&lt;&gt;"OK",COUNT('Section B Cantilever Beam Check'!$G$16)&lt;&gt;1,'Section B Cantilever Beam Check'!$G$16&lt;0),"",1000/6)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IF(OR('_CB Analysis'!$I$25&lt;&gt;"OK",COUNT('Section B Cantilever Beam Check'!$G$16)&lt;&gt;1,'Section B Cantilever Beam Check'!$G$16&lt;0),"",IF('Section B Cantilever Beam Check'!C69="&lt;",IF('Section B Cantilever Beam Check'!J69="&gt;","vt&gt;vtu y1/550",""),"(v+vt)&gt;vtu"))</f>
        <v/>
      </c>
      <c r="P69" s="70"/>
      <c r="Q69" s="70"/>
      <c r="R69" s="71" t="str">
        <f>IF(OR('_CB Analysis'!$I$25&lt;&gt;"OK",COUNT('Section B Cantilever Beam Check'!$G$16)&lt;&gt;1,'Section B Cantilever Beam Check'!$G$16&lt;0),"",IF('Section B Cantilever Beam Check'!N69&lt;&gt;"OKAY",'Section B Cantilever Beam Check'!K63+'Section B Cantilever Beam Check'!K51,""))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IF(OR('_CB Analysis'!$I$25&lt;&gt;"OK",COUNT('Section B Cantilever Beam Check'!$G$16)&lt;&gt;1,'Section B Cantilever Beam Check'!$G$16&lt;0),"",IF('Section B Cantilever Beam Check'!K72&lt;&gt;0,IF('Section B Cantilever Beam Check'!K76&gt;'Section B Cantilever Beam Check'!K72,IF('Section B Cantilever Beam Check'!H76&lt;MIN('Section B Cantilever Beam Check'!G67,'Section B Cantilever Beam Check'!G68/2,200),"","Increase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IF(OR('_CB Analysis'!$I$25&lt;&gt;"OK",COUNT('Section B Cantilever Beam Check'!$G$16)&lt;&gt;1,'Section B Cantilever Beam Check'!$G$16&lt;0),"",IF('Section B Cantilever Beam Check'!K78&gt;'Section B Cantilever Beam Check'!K74,"","Provide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IF(OR('_CB Analysis'!$I$25&lt;&gt;"OK",COUNT('Section B Cantilever Beam Check'!$G$16)&lt;&gt;1,'Section B Cantilever Beam Check'!$G$16&lt;0),"",CBBeamLayerDepth(40,4,'Section B Cantilever Beam Check'!$C$40:$D$47,'Section B Cantilever Beam Check'!$C$110:$D$117,'Section B Cantilever Beam Check'!$G$14:$G$16,'Section B Cantilever Beam Check'!$G$58))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IF(OR('_CB Analysis'!$I$25&lt;&gt;"OK",COUNT('Section B Cantilever Beam Check'!$G$16)&lt;&gt;1,'Section B Cantilever Beam Check'!$G$16&lt;0),"",CBBeamLayerDepth(40,5,'Section B Cantilever Beam Check'!$C$40:$D$47,'Section B Cantilever Beam Check'!$C$110:$D$117,'Section B Cantilever Beam Check'!$G$14:$G$16,'Section B Cantilever Beam Check'!$G$58))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IF(OR('_CB Analysis'!$I$25&lt;&gt;"OK",COUNT('Section B Cantilever Beam Check'!$G$16)&lt;&gt;1,'Section B Cantilever Beam Check'!$G$16&lt;0),"",CBBeamLayerDepth(40,6,'Section B Cantilever Beam Check'!$C$40:$D$47,'Section B Cantilever Beam Check'!$C$110:$D$117,'Section B Cantilever Beam Check'!$G$14:$G$16,'Section B Cantilever Beam Check'!$G$58))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IF(OR('_CB Analysis'!$I$25&lt;&gt;"OK",COUNT('Section B Cantilever Beam Check'!$G$16)&lt;&gt;1,'Section B Cantilever Beam Check'!$G$16&lt;0),"",CBBeamLayerDepth(40,7,'Section B Cantilever Beam Check'!$C$40:$D$47,'Section B Cantilever Beam Check'!$C$110:$D$117,'Section B Cantilever Beam Check'!$G$14:$G$16,'Section B Cantilever Beam Check'!$G$58))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IF(OR('_CB Analysis'!$I$25&lt;&gt;"OK",COUNT('Section B Cantilever Beam Check'!$G$16)&lt;&gt;1,'Section B Cantilever Beam Check'!$G$16&lt;0),"",CBBeamLayerDepth(44,4,'Section B Cantilever Beam Check'!$C$40:$D$47,'Section B Cantilever Beam Check'!$C$110:$D$117,'Section B Cantilever Beam Check'!$G$14:$G$16,'Section B Cantilever Beam Check'!$G$58))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IF(OR('_CB Analysis'!$I$25&lt;&gt;"OK",COUNT('Section B Cantilever Beam Check'!$G$16)&lt;&gt;1,'Section B Cantilever Beam Check'!$G$16&lt;0),"",CBBeamLayerDepth(44,5,'Section B Cantilever Beam Check'!$C$40:$D$47,'Section B Cantilever Beam Check'!$C$110:$D$117,'Section B Cantilever Beam Check'!$G$14:$G$16,'Section B Cantilever Beam Check'!$G$58))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IF(OR('_CB Analysis'!$I$25&lt;&gt;"OK",COUNT('Section B Cantilever Beam Check'!$G$16)&lt;&gt;1,'Section B Cantilever Beam Check'!$G$16&lt;0),"",CBBeamLayerDepth(44,6,'Section B Cantilever Beam Check'!$C$40:$D$47,'Section B Cantilever Beam Check'!$C$110:$D$117,'Section B Cantilever Beam Check'!$G$14:$G$16,'Section B Cantilever Beam Check'!$G$58))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IF(OR('_CB Analysis'!$I$25&lt;&gt;"OK",COUNT('Section B Cantilever Beam Check'!$G$16)&lt;&gt;1,'Section B Cantilever Beam Check'!$G$16&lt;0),"",CBBeamLayerDepth(44,7,'Section B Cantilever Beam Check'!$C$40:$D$47,'Section B Cantilever Beam Check'!$C$110:$D$117,'Section B Cantilever Beam Check'!$G$14:$G$16,'Section B Cantilever Beam Check'!$G$58))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 priority="3" stopIfTrue="1" operator="equal">
      <formula>"NOT OKAY"</formula>
    </cfRule>
  </conditionalFormatting>
  <conditionalFormatting sqref="P37 P35">
    <cfRule type="cellIs" dxfId="1" priority="2" stopIfTrue="1" operator="equal">
      <formula>"NOT OKAY"</formula>
    </cfRule>
  </conditionalFormatting>
  <conditionalFormatting sqref="T21">
    <cfRule type="cellIs" dxfId="0" priority="1" stopIfTrue="1" operator="equal">
      <formula>"NOT OKAY"</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0CF-B996-41C4-9ECD-BF1A041F9D33}">
  <sheetPr codeName="Sheet19">
    <tabColor rgb="FF0070C0"/>
    <pageSetUpPr fitToPage="1"/>
  </sheetPr>
  <dimension ref="A1:FJ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66" ht="30" customHeight="1">
      <c r="A1" s="47"/>
      <c r="B1" s="47"/>
      <c r="C1" s="47"/>
      <c r="D1" s="47"/>
      <c r="E1" s="47"/>
      <c r="F1" s="47"/>
      <c r="G1" s="47"/>
      <c r="H1" s="47"/>
      <c r="I1" s="47"/>
      <c r="J1" s="47"/>
      <c r="K1" s="47"/>
      <c r="L1" s="47"/>
      <c r="M1" s="47"/>
      <c r="N1" s="47"/>
      <c r="O1" s="47"/>
      <c r="P1" s="47"/>
      <c r="Q1" s="47"/>
      <c r="R1" s="47"/>
      <c r="S1" s="47"/>
      <c r="T1" s="47"/>
      <c r="U1" s="47"/>
      <c r="V1" s="47"/>
      <c r="W1" s="47"/>
      <c r="X1" s="47"/>
      <c r="CY1">
        <v>825</v>
      </c>
      <c r="CZ1">
        <v>183.6</v>
      </c>
      <c r="DA1">
        <v>205.2</v>
      </c>
      <c r="DB1">
        <v>387.6</v>
      </c>
    </row>
    <row r="2" spans="1:166"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1030.2</v>
      </c>
      <c r="CZ2">
        <v>183.6</v>
      </c>
      <c r="DA2">
        <v>205.2</v>
      </c>
      <c r="DB2">
        <v>387.6</v>
      </c>
    </row>
    <row r="3" spans="1:166"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166"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166" ht="30" customHeight="1">
      <c r="A5" s="47"/>
      <c r="B5" s="47"/>
      <c r="C5" s="49"/>
      <c r="D5" s="47"/>
      <c r="E5" s="48"/>
      <c r="F5" s="47"/>
      <c r="G5" s="47"/>
      <c r="H5" s="47"/>
      <c r="I5" s="47"/>
      <c r="J5" s="47"/>
      <c r="K5" s="47"/>
      <c r="L5" s="47"/>
      <c r="M5" s="47"/>
      <c r="N5" s="47"/>
      <c r="O5" s="47"/>
      <c r="P5" s="47"/>
      <c r="Q5" s="47"/>
      <c r="R5" s="47"/>
      <c r="S5" s="47"/>
      <c r="T5" s="47"/>
      <c r="U5" s="47"/>
      <c r="V5" s="47"/>
      <c r="W5" s="47"/>
      <c r="X5" s="47"/>
    </row>
    <row r="6" spans="1:166" ht="30" customHeight="1">
      <c r="A6" s="47"/>
      <c r="B6" s="47"/>
      <c r="C6" s="49"/>
      <c r="D6" s="47"/>
      <c r="E6" s="48"/>
      <c r="F6" s="47"/>
      <c r="G6" s="47"/>
      <c r="H6" s="47"/>
      <c r="I6" s="47"/>
      <c r="J6" s="47"/>
      <c r="K6" s="47"/>
      <c r="L6" s="47"/>
      <c r="M6" s="47"/>
      <c r="N6" s="47"/>
      <c r="O6" s="47"/>
      <c r="P6" s="47"/>
      <c r="Q6" s="47"/>
      <c r="R6" s="47"/>
      <c r="S6" s="47"/>
      <c r="T6" s="47"/>
      <c r="U6" s="47"/>
      <c r="V6" s="47"/>
      <c r="W6" s="47"/>
      <c r="X6" s="47"/>
      <c r="BD6" s="85"/>
      <c r="BW6" s="85"/>
      <c r="FJ6" s="86"/>
    </row>
    <row r="7" spans="1:166" ht="30" customHeight="1">
      <c r="A7" s="47"/>
      <c r="B7" s="47"/>
      <c r="C7" s="49"/>
      <c r="D7" s="47"/>
      <c r="E7" s="48"/>
      <c r="F7" s="47"/>
      <c r="G7" s="47"/>
      <c r="H7" s="47"/>
      <c r="I7" s="47"/>
      <c r="J7" s="47"/>
      <c r="K7" s="47"/>
      <c r="L7" s="47"/>
      <c r="M7" s="47"/>
      <c r="N7" s="47"/>
      <c r="O7" s="47"/>
      <c r="P7" s="47"/>
      <c r="Q7" s="47"/>
      <c r="R7" s="47"/>
      <c r="S7" s="47"/>
      <c r="T7" s="47"/>
      <c r="U7" s="47"/>
      <c r="V7" s="47"/>
      <c r="W7" s="47"/>
      <c r="X7" s="47"/>
      <c r="BD7" s="85"/>
      <c r="FJ7" s="85"/>
    </row>
    <row r="8" spans="1:166" ht="42" customHeight="1">
      <c r="A8" s="47"/>
      <c r="B8" s="47"/>
      <c r="C8" s="49"/>
      <c r="D8" s="47"/>
      <c r="E8" s="48"/>
      <c r="F8" s="47"/>
      <c r="G8" s="47"/>
      <c r="H8" s="47"/>
      <c r="I8" s="47"/>
      <c r="J8" s="47"/>
      <c r="K8" s="47"/>
      <c r="L8" s="47"/>
      <c r="M8" s="47"/>
      <c r="N8" s="47"/>
      <c r="O8" s="47"/>
      <c r="P8" s="47"/>
      <c r="Q8" s="47"/>
      <c r="R8" s="47"/>
      <c r="S8" s="47"/>
      <c r="T8" s="47"/>
      <c r="U8" s="47"/>
      <c r="V8" s="47"/>
      <c r="W8" s="47"/>
      <c r="X8" s="47"/>
      <c r="BD8" s="85"/>
    </row>
    <row r="9" spans="1:166" ht="30" customHeight="1">
      <c r="A9" s="47"/>
      <c r="B9" s="47"/>
      <c r="C9" s="49"/>
      <c r="D9" s="47"/>
      <c r="E9" s="48"/>
      <c r="F9" s="47"/>
      <c r="G9" s="47"/>
      <c r="H9" s="47"/>
      <c r="I9" s="47"/>
      <c r="J9" s="47"/>
      <c r="K9" s="47"/>
      <c r="L9" s="47"/>
      <c r="M9" s="47"/>
      <c r="N9" s="47"/>
      <c r="O9" s="47"/>
      <c r="P9" s="47"/>
      <c r="Q9" s="47"/>
      <c r="R9" s="47"/>
      <c r="S9" s="47"/>
      <c r="T9" s="47"/>
      <c r="U9" s="47"/>
      <c r="V9" s="47"/>
      <c r="W9" s="47"/>
      <c r="X9" s="47"/>
      <c r="BD9" s="85"/>
    </row>
    <row r="10" spans="1:166" ht="30" customHeight="1">
      <c r="A10" s="47"/>
      <c r="B10" s="47"/>
      <c r="C10" s="322"/>
      <c r="D10" s="47"/>
      <c r="E10" s="48"/>
      <c r="F10" s="47"/>
      <c r="G10" s="47"/>
      <c r="H10" s="47"/>
      <c r="I10" s="47"/>
      <c r="J10" s="47"/>
      <c r="K10" s="47"/>
      <c r="L10" s="47"/>
      <c r="M10" s="47"/>
      <c r="N10" s="47"/>
      <c r="O10" s="47"/>
      <c r="P10" s="47"/>
      <c r="Q10" s="47"/>
      <c r="R10" s="47"/>
      <c r="S10" s="47"/>
      <c r="T10" s="47"/>
      <c r="U10" s="47"/>
      <c r="V10" s="47"/>
      <c r="W10" s="47"/>
      <c r="X10" s="47"/>
      <c r="BD10" s="85"/>
    </row>
    <row r="11" spans="1:166" ht="42" customHeight="1">
      <c r="A11" s="47"/>
      <c r="B11" s="47"/>
      <c r="C11" s="322"/>
      <c r="D11" s="47"/>
      <c r="E11" s="48"/>
      <c r="F11" s="47"/>
      <c r="G11" s="47"/>
      <c r="H11" s="47"/>
      <c r="I11" s="47"/>
      <c r="J11" s="47"/>
      <c r="K11" s="47"/>
      <c r="L11" s="47"/>
      <c r="M11" s="47"/>
      <c r="N11" s="47"/>
      <c r="O11" s="47"/>
      <c r="P11" s="47"/>
      <c r="Q11" s="47"/>
      <c r="R11" s="47"/>
      <c r="S11" s="47"/>
      <c r="T11" s="47"/>
      <c r="U11" s="47"/>
      <c r="V11" s="47"/>
      <c r="W11" s="47"/>
      <c r="X11" s="47"/>
      <c r="BD11" s="85"/>
    </row>
    <row r="12" spans="1:166" ht="30" customHeight="1">
      <c r="A12" s="47"/>
      <c r="B12" s="47"/>
      <c r="C12" s="322"/>
      <c r="D12" s="47"/>
      <c r="E12" s="48"/>
      <c r="F12" s="47"/>
      <c r="G12" s="47"/>
      <c r="H12" s="47"/>
      <c r="I12" s="47"/>
      <c r="J12" s="47"/>
      <c r="K12" s="47"/>
      <c r="L12" s="47"/>
      <c r="M12" s="47"/>
      <c r="N12" s="47"/>
      <c r="O12" s="47"/>
      <c r="P12" s="47"/>
      <c r="Q12" s="47"/>
      <c r="R12" s="47"/>
      <c r="S12" s="47"/>
      <c r="T12" s="47"/>
      <c r="U12" s="47"/>
      <c r="V12" s="47"/>
      <c r="W12" s="47"/>
      <c r="X12" s="47"/>
      <c r="BD12" s="85"/>
    </row>
    <row r="13" spans="1:166" ht="30" customHeight="1">
      <c r="A13" s="47"/>
      <c r="B13" s="47"/>
      <c r="C13" s="49"/>
      <c r="D13" s="47"/>
      <c r="E13" s="48"/>
      <c r="F13" s="47"/>
      <c r="G13" s="47"/>
      <c r="H13" s="47"/>
      <c r="I13" s="47"/>
      <c r="J13" s="47"/>
      <c r="K13" s="47"/>
      <c r="L13" s="47"/>
      <c r="M13" s="47"/>
      <c r="N13" s="47"/>
      <c r="O13" s="47"/>
      <c r="P13" s="47"/>
      <c r="Q13" s="47"/>
      <c r="R13" s="47"/>
      <c r="S13" s="47"/>
      <c r="T13" s="47"/>
      <c r="U13" s="47"/>
      <c r="V13" s="47"/>
      <c r="W13" s="47"/>
      <c r="X13" s="47"/>
      <c r="BD13" s="85"/>
    </row>
    <row r="14" spans="1:166" ht="48" customHeight="1">
      <c r="A14" s="47"/>
      <c r="B14" s="47"/>
      <c r="C14" s="49"/>
      <c r="D14" s="47"/>
      <c r="E14" s="48"/>
      <c r="F14" s="47"/>
      <c r="G14" s="47"/>
      <c r="H14" s="47"/>
      <c r="I14" s="47"/>
      <c r="J14" s="47"/>
      <c r="K14" s="47"/>
      <c r="L14" s="47"/>
      <c r="M14" s="47"/>
      <c r="N14" s="47"/>
      <c r="O14" s="47"/>
      <c r="P14" s="47"/>
      <c r="Q14" s="47"/>
      <c r="R14" s="47"/>
      <c r="S14" s="47"/>
      <c r="T14" s="47"/>
      <c r="U14" s="47"/>
      <c r="V14" s="47"/>
      <c r="W14" s="47"/>
      <c r="X14" s="47"/>
      <c r="BD14" s="85"/>
    </row>
    <row r="15" spans="1:166" ht="48" customHeight="1">
      <c r="A15" s="47"/>
      <c r="B15" s="47"/>
      <c r="C15" s="322"/>
      <c r="D15" s="47"/>
      <c r="E15" s="48"/>
      <c r="F15" s="47"/>
      <c r="G15" s="47"/>
      <c r="H15" s="47"/>
      <c r="I15" s="47"/>
      <c r="J15" s="47"/>
      <c r="K15" s="47"/>
      <c r="L15" s="47"/>
      <c r="M15" s="47"/>
      <c r="N15" s="47"/>
      <c r="O15" s="47"/>
      <c r="P15" s="47"/>
      <c r="Q15" s="47"/>
      <c r="R15" s="47"/>
      <c r="S15" s="47"/>
      <c r="T15" s="47"/>
      <c r="U15" s="47"/>
      <c r="V15" s="47"/>
      <c r="W15" s="47"/>
      <c r="X15" s="47"/>
      <c r="BD15" s="85"/>
    </row>
    <row r="16" spans="1:166" ht="30" customHeight="1">
      <c r="A16" s="47"/>
      <c r="B16" s="47"/>
      <c r="C16" s="322"/>
      <c r="D16" s="47"/>
      <c r="E16" s="48"/>
      <c r="F16" s="47"/>
      <c r="G16" s="47"/>
      <c r="H16" s="47"/>
      <c r="I16" s="47"/>
      <c r="J16" s="47"/>
      <c r="K16" s="47"/>
      <c r="L16" s="47"/>
      <c r="M16" s="47"/>
      <c r="N16" s="47"/>
      <c r="O16" s="47"/>
      <c r="P16" s="47"/>
      <c r="Q16" s="47"/>
      <c r="R16" s="47"/>
      <c r="S16" s="47"/>
      <c r="T16" s="47"/>
      <c r="U16" s="47"/>
      <c r="V16" s="47"/>
      <c r="W16" s="47"/>
      <c r="X16" s="47"/>
      <c r="BD16" s="85"/>
    </row>
    <row r="17" spans="1:56" ht="30" customHeight="1">
      <c r="A17" s="47"/>
      <c r="B17" s="47"/>
      <c r="C17" s="322"/>
      <c r="D17" s="47"/>
      <c r="E17" s="48"/>
      <c r="F17" s="47"/>
      <c r="G17" s="47"/>
      <c r="H17" s="47"/>
      <c r="I17" s="47"/>
      <c r="J17" s="47"/>
      <c r="K17" s="47"/>
      <c r="L17" s="47"/>
      <c r="M17" s="47"/>
      <c r="N17" s="47"/>
      <c r="O17" s="47"/>
      <c r="P17" s="47"/>
      <c r="Q17" s="47"/>
      <c r="R17" s="47"/>
      <c r="S17" s="47"/>
      <c r="T17" s="47"/>
      <c r="U17" s="47"/>
      <c r="V17" s="47"/>
      <c r="W17" s="47"/>
      <c r="X17" s="47"/>
      <c r="BD17" s="85"/>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D18" s="85"/>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D19" s="85"/>
    </row>
    <row r="20" spans="1:56" ht="48" customHeight="1">
      <c r="A20" s="47"/>
      <c r="B20" s="47"/>
      <c r="C20" s="49"/>
      <c r="D20" s="47"/>
      <c r="E20" s="48"/>
      <c r="F20" s="47"/>
      <c r="G20" s="47"/>
      <c r="H20" s="47"/>
      <c r="I20" s="47"/>
      <c r="J20" s="47"/>
      <c r="K20" s="47"/>
      <c r="L20" s="47"/>
      <c r="M20" s="47"/>
      <c r="N20" s="47"/>
      <c r="O20" s="47"/>
      <c r="P20" s="47"/>
      <c r="Q20" s="47"/>
      <c r="R20" s="47"/>
      <c r="S20" s="47"/>
      <c r="T20" s="47"/>
      <c r="U20" s="47"/>
      <c r="V20" s="47"/>
      <c r="W20" s="47"/>
      <c r="X20" s="47"/>
      <c r="BD20" s="85"/>
    </row>
    <row r="21" spans="1:56" ht="48" customHeight="1">
      <c r="A21" s="47"/>
      <c r="B21" s="47"/>
      <c r="C21" s="49"/>
      <c r="D21" s="47"/>
      <c r="E21" s="48"/>
      <c r="F21" s="47"/>
      <c r="G21" s="47"/>
      <c r="H21" s="47"/>
      <c r="I21" s="47"/>
      <c r="J21" s="47"/>
      <c r="K21" s="47"/>
      <c r="L21" s="47"/>
      <c r="M21" s="47"/>
      <c r="N21" s="47"/>
      <c r="O21" s="47"/>
      <c r="P21" s="47"/>
      <c r="Q21" s="47"/>
      <c r="R21" s="47"/>
      <c r="S21" s="47"/>
      <c r="T21" s="47"/>
      <c r="U21" s="47"/>
      <c r="V21" s="47"/>
      <c r="W21" s="47"/>
      <c r="X21" s="47"/>
      <c r="BD21" s="85"/>
    </row>
    <row r="22" spans="1:56" ht="42" customHeight="1">
      <c r="A22" s="47"/>
      <c r="B22" s="47"/>
      <c r="C22" s="322"/>
      <c r="D22" s="47"/>
      <c r="E22" s="48"/>
      <c r="F22" s="47"/>
      <c r="G22" s="47"/>
      <c r="H22" s="47"/>
      <c r="I22" s="47"/>
      <c r="J22" s="47"/>
      <c r="K22" s="47"/>
      <c r="L22" s="47"/>
      <c r="M22" s="47"/>
      <c r="N22" s="47"/>
      <c r="O22" s="47"/>
      <c r="P22" s="47"/>
      <c r="Q22" s="47"/>
      <c r="R22" s="47"/>
      <c r="S22" s="47"/>
      <c r="T22" s="47"/>
      <c r="U22" s="47"/>
      <c r="V22" s="47"/>
      <c r="W22" s="47"/>
      <c r="X22" s="47"/>
      <c r="BD22" s="85"/>
    </row>
    <row r="23" spans="1:56" ht="42" customHeight="1">
      <c r="A23" s="47"/>
      <c r="B23" s="47"/>
      <c r="C23" s="323"/>
      <c r="D23" s="47"/>
      <c r="E23" s="48"/>
      <c r="F23" s="47"/>
      <c r="G23" s="47"/>
      <c r="H23" s="47"/>
      <c r="I23" s="47"/>
      <c r="J23" s="47"/>
      <c r="K23" s="47"/>
      <c r="L23" s="47"/>
      <c r="M23" s="47"/>
      <c r="N23" s="47"/>
      <c r="O23" s="47"/>
      <c r="P23" s="47"/>
      <c r="Q23" s="47"/>
      <c r="R23" s="47"/>
      <c r="S23" s="47"/>
      <c r="T23" s="47"/>
      <c r="U23" s="47"/>
      <c r="V23" s="47"/>
      <c r="W23" s="47"/>
      <c r="X23" s="47"/>
      <c r="BD23" s="85"/>
    </row>
    <row r="24" spans="1:56" ht="42" customHeight="1">
      <c r="A24" s="47"/>
      <c r="B24" s="47"/>
      <c r="C24" s="323"/>
      <c r="D24" s="47"/>
      <c r="E24" s="59"/>
      <c r="F24" s="47"/>
      <c r="G24" s="47"/>
      <c r="H24" s="47"/>
      <c r="I24" s="612"/>
      <c r="J24" s="612"/>
      <c r="K24" s="612"/>
      <c r="L24" s="612"/>
      <c r="M24" s="612"/>
      <c r="N24" s="612"/>
      <c r="O24" s="47"/>
      <c r="P24" s="47"/>
      <c r="Q24" s="47"/>
      <c r="R24" s="47"/>
      <c r="S24" s="47"/>
      <c r="T24" s="47"/>
      <c r="U24" s="47"/>
      <c r="V24" s="47"/>
      <c r="W24" s="47"/>
      <c r="X24" s="47"/>
      <c r="BD24" s="85"/>
    </row>
    <row r="25" spans="1:56" ht="42" customHeight="1">
      <c r="A25" s="47"/>
      <c r="B25" s="47"/>
      <c r="C25" s="52"/>
      <c r="D25" s="47"/>
      <c r="E25" s="48"/>
      <c r="F25" s="47"/>
      <c r="G25" s="47"/>
      <c r="H25" s="47"/>
      <c r="I25" s="612" t="str">
        <f>CBStatus99(INDEX(Input!A124:M143,'Section B Cantilever Beam Check'!T37-123,0),Input!C3,Input!F3)</f>
        <v>ENTER SPAN, WIDTH AND DEPTH</v>
      </c>
      <c r="J25" s="612"/>
      <c r="K25" s="612"/>
      <c r="L25" s="612"/>
      <c r="M25" s="612"/>
      <c r="N25" s="612"/>
      <c r="O25" s="47"/>
      <c r="P25" s="47"/>
      <c r="Q25" s="47"/>
      <c r="R25" s="47"/>
      <c r="S25" s="47"/>
      <c r="T25" s="47"/>
      <c r="U25" s="47"/>
      <c r="V25" s="47"/>
      <c r="W25" s="47"/>
      <c r="X25" s="47"/>
      <c r="BD25" s="85"/>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f>IF(AND(ISNUMBER(C28),C28&gt;0),D28,$C$7)</f>
        <v>0</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f>IF(AND(ISNUMBER(C29),C29&gt;0),D29,$C$7)</f>
        <v>0</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f>IF(AND(ISNUMBER(C30),C30&gt;0),D30,$C$7)</f>
        <v>0</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f>IF(AND(ISNUMBER(C31),C31&gt;0),D31,$C$7)</f>
        <v>0</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f>IF(AND(ISNUMBER(C32),C32&gt;0),D32,$C$7)</f>
        <v>0</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f>$C$7</f>
        <v>0</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f>R28</f>
        <v>0</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f>R29</f>
        <v>0</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f>R30</f>
        <v>0</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f>R31</f>
        <v>0</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f>R32</f>
        <v>0</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f>$C$7</f>
        <v>0</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8" t="s">
        <v>460</v>
      </c>
      <c r="H66" s="608"/>
      <c r="I66" s="606" t="str">
        <f>IF($I$25&lt;&gt;"OK","",'Section B Secondary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8" t="s">
        <v>461</v>
      </c>
      <c r="H67" s="608"/>
      <c r="I67" s="606" t="str">
        <f>IF($I$25&lt;&gt;"OK","",'Section B Secondary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Secondary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f>C9</f>
        <v>0</v>
      </c>
    </row>
    <row r="203" spans="1:28" ht="27" hidden="1" customHeight="1">
      <c r="AA203">
        <f>0</f>
        <v>0</v>
      </c>
      <c r="AB203" s="327">
        <f>C9</f>
        <v>0</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0. m; b x h = 0 x 0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A6F95962-2A06-4D21-8AEB-E30D1C1A84FF}">
      <formula1>6</formula1>
      <formula2>25</formula2>
    </dataValidation>
  </dataValidations>
  <hyperlinks>
    <hyperlink ref="A342" location="'section b column check'!A1" display="Column design moved to section b column check" xr:uid="{AC95B524-1215-4DBA-9CD7-152FF38520EB}"/>
    <hyperlink ref="A196" location="'section b column check'!A1" display="Column design moved to section b column check" xr:uid="{530FA79D-7821-4C06-A2B0-0D6923D72B9A}"/>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CE22A-6A4E-42DD-8F26-FA338622DABD}">
  <sheetPr codeName="Sheet23"/>
  <dimension ref="A1"/>
  <sheetViews>
    <sheetView workbookViewId="0"/>
  </sheetViews>
  <sheetFormatPr defaultRowHeight="13.8"/>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29</vt:i4>
      </vt:variant>
    </vt:vector>
  </HeadingPairs>
  <TitlesOfParts>
    <vt:vector size="49" baseType="lpstr">
      <vt:lpstr>Project Floors</vt:lpstr>
      <vt:lpstr>RC Load Results</vt:lpstr>
      <vt:lpstr>RC Loads</vt:lpstr>
      <vt:lpstr>RC Column Inputs</vt:lpstr>
      <vt:lpstr>Input</vt:lpstr>
      <vt:lpstr>Section A Beam Slab</vt:lpstr>
      <vt:lpstr>Section A Column Loading</vt:lpstr>
      <vt:lpstr>Section A Transfer Column</vt:lpstr>
      <vt:lpstr>Section A Transfer Beam</vt:lpstr>
      <vt:lpstr>Section A 抄</vt:lpstr>
      <vt:lpstr>Section B Slab Check</vt:lpstr>
      <vt:lpstr>Section B Cantilever Slab Check</vt:lpstr>
      <vt:lpstr>Section B Secondary Beam Design</vt:lpstr>
      <vt:lpstr>Section B Main Beam Design</vt:lpstr>
      <vt:lpstr>Section B Cantilever Beam Check</vt:lpstr>
      <vt:lpstr>Section B Transfer Beam Check</vt:lpstr>
      <vt:lpstr>Section B Column Check</vt:lpstr>
      <vt:lpstr>Section B 抄</vt:lpstr>
      <vt:lpstr>Section B Concrete Cover</vt:lpstr>
      <vt:lpstr>Imposed Load</vt:lpstr>
      <vt:lpstr>FireHours71</vt:lpstr>
      <vt:lpstr>MBIDs66</vt:lpstr>
      <vt:lpstr>MemberIDs94</vt:lpstr>
      <vt:lpstr>'_CB Analysis'!Print_Area</vt:lpstr>
      <vt:lpstr>'_Input Engine'!Print_Area</vt:lpstr>
      <vt:lpstr>'_MB Analysis'!Print_Area</vt:lpstr>
      <vt:lpstr>'_SB Analysis'!Print_Area</vt:lpstr>
      <vt:lpstr>'_TB Analysis'!Print_Area</vt:lpstr>
      <vt:lpstr>Input!Print_Area</vt:lpstr>
      <vt:lpstr>'Section A 抄'!Print_Area</vt:lpstr>
      <vt:lpstr>'Section B Cantilever Beam Check'!Print_Area</vt:lpstr>
      <vt:lpstr>'Section B Cantilever Slab Check'!Print_Area</vt:lpstr>
      <vt:lpstr>'Section B Column Check'!Print_Area</vt:lpstr>
      <vt:lpstr>'Section B Concrete Cover'!Print_Area</vt:lpstr>
      <vt:lpstr>'Section B Main Beam Design'!Print_Area</vt:lpstr>
      <vt:lpstr>'Section B Secondary Beam Design'!Print_Area</vt:lpstr>
      <vt:lpstr>'Section B Slab Check'!Print_Area</vt:lpstr>
      <vt:lpstr>'Section B Transfer Beam Check'!Print_Area</vt:lpstr>
      <vt:lpstr>'Section B 抄'!Print_Area</vt:lpstr>
      <vt:lpstr>'Section B Cantilever Beam Check'!Print_Titles</vt:lpstr>
      <vt:lpstr>'Section B Main Beam Design'!Print_Titles</vt:lpstr>
      <vt:lpstr>'Section B Secondary Beam Design'!Print_Titles</vt:lpstr>
      <vt:lpstr>'Section B Transfer Beam Check'!Print_Titles</vt:lpstr>
      <vt:lpstr>SBIDs66</vt:lpstr>
      <vt:lpstr>SectionAFeasibility98</vt:lpstr>
      <vt:lpstr>SlabDesignIDs76</vt:lpstr>
      <vt:lpstr>SlabIDs66</vt:lpstr>
      <vt:lpstr>TCIDs</vt:lpstr>
      <vt:lpstr>UsageOptions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Huang</dc:creator>
  <cp:lastModifiedBy>huangshengxiang6608@gmail.com</cp:lastModifiedBy>
  <cp:lastPrinted>2026-09-11T16:36:28Z</cp:lastPrinted>
  <dcterms:created xsi:type="dcterms:W3CDTF">2026-09-07T14:14:11Z</dcterms:created>
  <dcterms:modified xsi:type="dcterms:W3CDTF">2026-09-24T08:52:44Z</dcterms:modified>
</cp:coreProperties>
</file>